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623" activeTab="6"/>
  </bookViews>
  <sheets>
    <sheet name="totali" sheetId="1" r:id="rId1"/>
    <sheet name="medici" sheetId="2" r:id="rId2"/>
    <sheet name="inf" sheetId="3" r:id="rId3"/>
    <sheet name="dirigenza" sheetId="4" r:id="rId4"/>
    <sheet name="Comparto sanitario" sheetId="5" r:id="rId5"/>
    <sheet name="Comparto amm-tecn-prof" sheetId="6" r:id="rId6"/>
    <sheet name="costo" sheetId="7" r:id="rId7"/>
  </sheets>
  <definedNames>
    <definedName name="_xlnm._FilterDatabase" localSheetId="1" hidden="1">'medici'!$A$1:$II$81</definedName>
    <definedName name="Excel_BuiltIn__FilterDatabase" localSheetId="1">'medici'!$A$1:$II$81</definedName>
  </definedNames>
  <calcPr fullCalcOnLoad="1"/>
</workbook>
</file>

<file path=xl/sharedStrings.xml><?xml version="1.0" encoding="utf-8"?>
<sst xmlns="http://schemas.openxmlformats.org/spreadsheetml/2006/main" count="911" uniqueCount="324">
  <si>
    <t>DOTAZIONE ORGANICA</t>
  </si>
  <si>
    <t>PROFILI</t>
  </si>
  <si>
    <t>previsione</t>
  </si>
  <si>
    <t>posti vacanti</t>
  </si>
  <si>
    <t xml:space="preserve">infermieri </t>
  </si>
  <si>
    <t>altro personale ruolo tecnico (dir+ comp)</t>
  </si>
  <si>
    <t>altro personale sanitario</t>
  </si>
  <si>
    <t>dirigenti sanitari</t>
  </si>
  <si>
    <t>farmacisti</t>
  </si>
  <si>
    <t>ruolo  amministrativo  e professionale (dir+comp)</t>
  </si>
  <si>
    <t>totale</t>
  </si>
  <si>
    <t>costo dotazione organica</t>
  </si>
  <si>
    <t>calcolato ai sensi del DA 1380/2015</t>
  </si>
  <si>
    <t>COD.</t>
  </si>
  <si>
    <t>P.O.</t>
  </si>
  <si>
    <t>UUOO</t>
  </si>
  <si>
    <t>TIPOLOGIA UO</t>
  </si>
  <si>
    <t>PARAMETRO MEDICI MIN</t>
  </si>
  <si>
    <t>PARAMETRO MEDICI MAX</t>
  </si>
  <si>
    <t xml:space="preserve">correttivo </t>
  </si>
  <si>
    <t xml:space="preserve">PREVISIONE NUMERO MEDICI </t>
  </si>
  <si>
    <t>PRESENTI TEMPO IND.</t>
  </si>
  <si>
    <t>PRESENTI TEMPO DET.</t>
  </si>
  <si>
    <t>COMANDATI IN INGRESSO</t>
  </si>
  <si>
    <t>COMANDATI IN USCITA</t>
  </si>
  <si>
    <t>LIBERO PROF.</t>
  </si>
  <si>
    <t>NOTE</t>
  </si>
  <si>
    <t>PRESENTI MEDICI TOTALE</t>
  </si>
  <si>
    <t>note</t>
  </si>
  <si>
    <t>06</t>
  </si>
  <si>
    <t>DI CRISTINA</t>
  </si>
  <si>
    <t>CARDIOCHIRURGIA PEDIATRICA</t>
  </si>
  <si>
    <t>C</t>
  </si>
  <si>
    <t>08</t>
  </si>
  <si>
    <t>CARDIOLOGIA PEDIATRICA</t>
  </si>
  <si>
    <t>09</t>
  </si>
  <si>
    <t>CIVICO</t>
  </si>
  <si>
    <t xml:space="preserve">BREAST UNIT </t>
  </si>
  <si>
    <t>SD</t>
  </si>
  <si>
    <t>CHIRURGIA GENERALE E D'URGENZA</t>
  </si>
  <si>
    <t>CHIRURGIA GENERALE ONCOLOGICA</t>
  </si>
  <si>
    <t>10</t>
  </si>
  <si>
    <t>CHIRURGIA MAXILLO FACCIALE</t>
  </si>
  <si>
    <t>13</t>
  </si>
  <si>
    <t>CHIRURGIA TORACICA</t>
  </si>
  <si>
    <t>11</t>
  </si>
  <si>
    <t>CHIRURGIA PEDIATRICA</t>
  </si>
  <si>
    <t>12</t>
  </si>
  <si>
    <t>CHIRURGIA PLASTICA</t>
  </si>
  <si>
    <t>47</t>
  </si>
  <si>
    <t>GRANDI USTIONI</t>
  </si>
  <si>
    <t>46</t>
  </si>
  <si>
    <t>GRANDI USTIONI PEDIATRICHE</t>
  </si>
  <si>
    <t>S</t>
  </si>
  <si>
    <t>14</t>
  </si>
  <si>
    <t>CHIRURGIA VASCOLARE E ENDOVASCOLARE</t>
  </si>
  <si>
    <t>18</t>
  </si>
  <si>
    <t>EMATOLOGIA E  TALASSEMIA</t>
  </si>
  <si>
    <t>24</t>
  </si>
  <si>
    <t>MALATTIE INFETTIVE CIVICO</t>
  </si>
  <si>
    <t>MALATTIE INFETTIVE PEDIATRICHE</t>
  </si>
  <si>
    <t>26</t>
  </si>
  <si>
    <t>MEDICINA GENERALE</t>
  </si>
  <si>
    <t>MEDICINA INTERNA AD IND. GERIATR. RIAB.</t>
  </si>
  <si>
    <t>56</t>
  </si>
  <si>
    <t>RIABILITAZIONE</t>
  </si>
  <si>
    <t>60</t>
  </si>
  <si>
    <t>LUNGODEGENZA</t>
  </si>
  <si>
    <t>52</t>
  </si>
  <si>
    <t xml:space="preserve">DERMATOLOGIA </t>
  </si>
  <si>
    <t>71</t>
  </si>
  <si>
    <t>REUMATOLOGIA</t>
  </si>
  <si>
    <t>30</t>
  </si>
  <si>
    <t>NEUROCHIRURGIA</t>
  </si>
  <si>
    <t>76</t>
  </si>
  <si>
    <t>NEUROCHIRURGIA PEDIATRICA</t>
  </si>
  <si>
    <t>32</t>
  </si>
  <si>
    <t>NEUROLOGIA</t>
  </si>
  <si>
    <t>STROKE UNIT</t>
  </si>
  <si>
    <t>33</t>
  </si>
  <si>
    <t>NEUROPSICHIATRIA INFANTILE</t>
  </si>
  <si>
    <t>34</t>
  </si>
  <si>
    <t>OCULISTICA</t>
  </si>
  <si>
    <t>36</t>
  </si>
  <si>
    <t>ORTOPEDIA E TRAUMATOLOGIA</t>
  </si>
  <si>
    <t>ORTOPEDIA PEDIATRICA</t>
  </si>
  <si>
    <t>37</t>
  </si>
  <si>
    <t>GINECOLOGIA ONCOLOGICA</t>
  </si>
  <si>
    <t xml:space="preserve">OSTETRICIA E GINECOLOGIA </t>
  </si>
  <si>
    <t>DECRETO</t>
  </si>
  <si>
    <t>38</t>
  </si>
  <si>
    <t>OTORINOLARINGOIATRIA</t>
  </si>
  <si>
    <t>39</t>
  </si>
  <si>
    <t>PEDIATRIA</t>
  </si>
  <si>
    <t>PEDIATRIA A INDIRIZZO GASTROENTEROLOGICO</t>
  </si>
  <si>
    <t>PEDIATRIA A INDIRIZZO PNEUMOLOGICO</t>
  </si>
  <si>
    <t>43</t>
  </si>
  <si>
    <t>UROLOGIA</t>
  </si>
  <si>
    <t xml:space="preserve">ANESTESIA E RIANIMAZIONE </t>
  </si>
  <si>
    <t>48</t>
  </si>
  <si>
    <t>NEFROLOGIA ABILITATA AL TRAPIANTO</t>
  </si>
  <si>
    <t>49</t>
  </si>
  <si>
    <t>ANESTESIA E RIANIMAZIONE PEDIATRICA</t>
  </si>
  <si>
    <t>CENTRALE OPERATIVA 118</t>
  </si>
  <si>
    <t>50</t>
  </si>
  <si>
    <t>UTIC</t>
  </si>
  <si>
    <t>CARDIOLOGIA</t>
  </si>
  <si>
    <t>DTA08</t>
  </si>
  <si>
    <t>ELETTROFISIOLOGIA</t>
  </si>
  <si>
    <t>51</t>
  </si>
  <si>
    <t>MCAU</t>
  </si>
  <si>
    <t>MCAU DI CRISTINA</t>
  </si>
  <si>
    <t>64</t>
  </si>
  <si>
    <t>ONCOLOGIA</t>
  </si>
  <si>
    <t>65</t>
  </si>
  <si>
    <t>ONCOEMATOLOGIA PEDIATRICA</t>
  </si>
  <si>
    <t>66</t>
  </si>
  <si>
    <t>ONCOEMATOLOGIA</t>
  </si>
  <si>
    <t>68</t>
  </si>
  <si>
    <t>PNEUMOLOGIA</t>
  </si>
  <si>
    <t>UTIR</t>
  </si>
  <si>
    <t>73</t>
  </si>
  <si>
    <t>UTIN</t>
  </si>
  <si>
    <t>62</t>
  </si>
  <si>
    <t>NEONATOLOGIA</t>
  </si>
  <si>
    <t>77</t>
  </si>
  <si>
    <t>PEDIATRIA A INDIRIZZO NEFROLOGICO</t>
  </si>
  <si>
    <t>82</t>
  </si>
  <si>
    <t>TERAPIA DEL DOLORE</t>
  </si>
  <si>
    <t>97</t>
  </si>
  <si>
    <t>MEDICINA PENITENZIARIA</t>
  </si>
  <si>
    <t>99</t>
  </si>
  <si>
    <t>HOSPICE</t>
  </si>
  <si>
    <t>DT01</t>
  </si>
  <si>
    <t>ALLERGOLOGIA</t>
  </si>
  <si>
    <t xml:space="preserve">ENDOSCOPIA BRONCHIALE </t>
  </si>
  <si>
    <t>DT03</t>
  </si>
  <si>
    <t>ANATOMIA PATOLOGICA</t>
  </si>
  <si>
    <t>DT58</t>
  </si>
  <si>
    <t>GASTROENTEROLOGIA CON ENDOSCOPIA DIGESTIVA</t>
  </si>
  <si>
    <t>DT61</t>
  </si>
  <si>
    <t>MEDICINA NUCLEARE</t>
  </si>
  <si>
    <t>DT69</t>
  </si>
  <si>
    <t>RADIOLOGIA DIAGNOSTICA (SENZA PL)</t>
  </si>
  <si>
    <t>RADIOLOGIA INTERVENTISTICA</t>
  </si>
  <si>
    <t>RADIOLOGIA PEDIATRICA</t>
  </si>
  <si>
    <t>DT70</t>
  </si>
  <si>
    <t>RADIOTERAPIA</t>
  </si>
  <si>
    <t>DTA1</t>
  </si>
  <si>
    <t xml:space="preserve">MEDICINA TRASFUSIONALE </t>
  </si>
  <si>
    <t>DTA3</t>
  </si>
  <si>
    <t>PATOLOGIA CLINICA</t>
  </si>
  <si>
    <t>GX21</t>
  </si>
  <si>
    <t>DIREZIONE MEDICO PO CIVICO</t>
  </si>
  <si>
    <t>DIREZIONE MEDICA PO DI CRISTINA</t>
  </si>
  <si>
    <t>MICROB</t>
  </si>
  <si>
    <t>MICROBIOLOGIA E VIROLOGIA</t>
  </si>
  <si>
    <t>NEUROR</t>
  </si>
  <si>
    <t>NEURORADIOLOGIA</t>
  </si>
  <si>
    <t>STAFF</t>
  </si>
  <si>
    <t>Dirigenti medici</t>
  </si>
  <si>
    <t>Direttori UOC</t>
  </si>
  <si>
    <t>direttori uoc</t>
  </si>
  <si>
    <t>TOTALE</t>
  </si>
  <si>
    <t>PARAMETRO MIN</t>
  </si>
  <si>
    <t>PARAMETRO MAX</t>
  </si>
  <si>
    <t>PREVISIONE NUMERO CPS INFERMIERE</t>
  </si>
  <si>
    <t>PRESENTI INF TOTALE</t>
  </si>
  <si>
    <t xml:space="preserve">GASTROENTEROLOGIA CON ENDOSCOPIA DIGESTIVA </t>
  </si>
  <si>
    <t>FAR</t>
  </si>
  <si>
    <t>FARMACIA</t>
  </si>
  <si>
    <t>CPS INF</t>
  </si>
  <si>
    <t>COORD</t>
  </si>
  <si>
    <t>coord</t>
  </si>
  <si>
    <t>TOTALI</t>
  </si>
  <si>
    <t>Dirigenza</t>
  </si>
  <si>
    <t>tempo indeterminato al 31/8/2015</t>
  </si>
  <si>
    <t xml:space="preserve">previsione </t>
  </si>
  <si>
    <t>ESUBERI</t>
  </si>
  <si>
    <t>Posti Vacanti</t>
  </si>
  <si>
    <t>vacanti</t>
  </si>
  <si>
    <t>Presenti TI + TD + LP</t>
  </si>
  <si>
    <t>Dirigente Medico</t>
  </si>
  <si>
    <t>Dirigente Farmacista</t>
  </si>
  <si>
    <t>Dirigente Biologo</t>
  </si>
  <si>
    <t>Dirigenti SNM Fisico</t>
  </si>
  <si>
    <t>Dirigenti SNM Psicologo</t>
  </si>
  <si>
    <t>Dirigenti Profess. Sanitarie
(serv. inferm, serv. Sociali, prev.....)</t>
  </si>
  <si>
    <t>Dirigente amministrativo</t>
  </si>
  <si>
    <t>Dirigente avvocato</t>
  </si>
  <si>
    <t>Dirigente ingegnere</t>
  </si>
  <si>
    <t>Dirigente Architetto</t>
  </si>
  <si>
    <t xml:space="preserve">Dirigente Analista </t>
  </si>
  <si>
    <t>PERSONALE RUOLO SANITARIO</t>
  </si>
  <si>
    <t>Collaboratore professionale sanitario - Assistente Sanitario (D/Ds)</t>
  </si>
  <si>
    <t>Colloabroatore tecnico Fisico (ctg. D)</t>
  </si>
  <si>
    <t>Collaboratore Professionale - Tecnico delle Prevenzione</t>
  </si>
  <si>
    <t>Collaboratore professionale sanitario  - ( ctg. D/Ds ) - dietista</t>
  </si>
  <si>
    <t>Collaboratore professionale sanitario - tecnico di laboratorio biomedico ( D/Ds )</t>
  </si>
  <si>
    <t>Collaboratore professionale sanitario - tecnico di Radiologia Medica (D/Ds)</t>
  </si>
  <si>
    <t>Collaboratore professionale sanitario - fisioterapista (D/Ds)</t>
  </si>
  <si>
    <t>Collaboratore professionale sanitario - massofisioterapista non vedente (D)</t>
  </si>
  <si>
    <t>stab</t>
  </si>
  <si>
    <t>Collaboratore professionale sanitario - tecnico di neurofisiopatologia (D/Ds)</t>
  </si>
  <si>
    <t>Collaboratore professionale sanitario - logopedista (D/Ds)</t>
  </si>
  <si>
    <t>CPS - Tecnico della fisiopatologia cardiocircolatoria e per fusione cardiovascolare (D/Ds)</t>
  </si>
  <si>
    <t>Collaboratore professionale sanitario - audiometrista (D/Ds)</t>
  </si>
  <si>
    <t>Collaboratore professionale sanitario - Ortottista (D/Ds)</t>
  </si>
  <si>
    <t>Collaboratore professionale sanitario - (ctg. D/Ds) - ostetrica</t>
  </si>
  <si>
    <t xml:space="preserve">puericultrice </t>
  </si>
  <si>
    <t>Collaboratore professionale  - tecnico di camera iperbarica (D/Ds)</t>
  </si>
  <si>
    <t>PERSONALE RUOLO
SANITARIO-INFERMIERISTICO</t>
  </si>
  <si>
    <t>Collaboratore professionale sanitario esperto (Ds)</t>
  </si>
  <si>
    <t>Collaboratore professionale sanitario esperto (Ds) - ex capo sala</t>
  </si>
  <si>
    <t>Collaboratore professionale - infermiere (D)</t>
  </si>
  <si>
    <t>Collaboratore professionale sanitario - infermiere pediatrico (D)</t>
  </si>
  <si>
    <t>Operatore professionale collaboratore I cat. (inf. prof.le) (C)</t>
  </si>
  <si>
    <t>Infermiere generico esperto (C.)</t>
  </si>
  <si>
    <t>Operatore professionale collaboratore II cat. (inf. generico) (Bs)</t>
  </si>
  <si>
    <t>TOTALE INFERMIERI</t>
  </si>
  <si>
    <t>PERSONALE
RUOLO AMMINISTRATIVO</t>
  </si>
  <si>
    <t xml:space="preserve">Presenti </t>
  </si>
  <si>
    <t>Collaboratore amministrativo-professionale (D/Ds)</t>
  </si>
  <si>
    <t>Assistente amministrativo (C)</t>
  </si>
  <si>
    <t>Coadiutore amministrativo (B)</t>
  </si>
  <si>
    <t>14 asu e 11 almaviva</t>
  </si>
  <si>
    <t>Commesso (A)</t>
  </si>
  <si>
    <t>3 asu</t>
  </si>
  <si>
    <t>Coll. Prof. Amm. - Addetto stampa (D)</t>
  </si>
  <si>
    <t>PERSONALE
RUOLO PROFESSIONALE</t>
  </si>
  <si>
    <t>PERSONALE
RUOLO TECNICO</t>
  </si>
  <si>
    <t>Presenti TI + LP</t>
  </si>
  <si>
    <t>Collaboratore professionale  - Assistente sociale (D/ds)</t>
  </si>
  <si>
    <t>Collaboratore Tecnico Professionale (D/Ds)</t>
  </si>
  <si>
    <t>Assistente tecnico (C) - Geometra</t>
  </si>
  <si>
    <t>Assistente tecnico - Programmatore (C)</t>
  </si>
  <si>
    <t>Operatori tecnici - centralinista (B/Bs)</t>
  </si>
  <si>
    <t>Operatore Tecnico - impiantista (B/Bs)</t>
  </si>
  <si>
    <t>Operatore Tecnico - elettricista (B/Bs)</t>
  </si>
  <si>
    <t>Operatore Tecnico SD</t>
  </si>
  <si>
    <t>4 asu</t>
  </si>
  <si>
    <t>Autista (B/Bs)</t>
  </si>
  <si>
    <t>OSS  (Bs)</t>
  </si>
  <si>
    <t xml:space="preserve">CPS odontoiatra </t>
  </si>
  <si>
    <t>POSTI LETTO MEDI ORDINARI</t>
  </si>
  <si>
    <t>PL DH</t>
  </si>
  <si>
    <t>PL equivalenti DSAO</t>
  </si>
  <si>
    <t>Infermiere</t>
  </si>
  <si>
    <t>Operatore socio sanitario</t>
  </si>
  <si>
    <t>Ausiliario specializzato</t>
  </si>
  <si>
    <t>Tecnico della prevenzione nell'ambiente e nei luoghi di lavoro</t>
  </si>
  <si>
    <t>Fisioterapista</t>
  </si>
  <si>
    <t>Logopedista</t>
  </si>
  <si>
    <t>Ortottista – assistente di oftalmologia</t>
  </si>
  <si>
    <t>Tecnico audiometrista</t>
  </si>
  <si>
    <t>Assistente sanitario</t>
  </si>
  <si>
    <t>Dietista</t>
  </si>
  <si>
    <t>Ostetrica</t>
  </si>
  <si>
    <t>Tecnico di neurofisiopatologia</t>
  </si>
  <si>
    <t>Tecnico sanitario di laboratorio biomedico</t>
  </si>
  <si>
    <t>Tecnico sanitario di radiologia medica</t>
  </si>
  <si>
    <t>Profilo Atipico Sanitario</t>
  </si>
  <si>
    <t>Puericultrice</t>
  </si>
  <si>
    <t>Assistente sociale</t>
  </si>
  <si>
    <t>Assistente tecnico</t>
  </si>
  <si>
    <t>Collaboratore tecnico</t>
  </si>
  <si>
    <t>Operatore tecnico</t>
  </si>
  <si>
    <t>Dirigente delle professioni sanitarie</t>
  </si>
  <si>
    <t>Dirigenti amministrativi</t>
  </si>
  <si>
    <t>Assistente amministrativo</t>
  </si>
  <si>
    <t>Commesso</t>
  </si>
  <si>
    <t>Coadiutore amministrativo</t>
  </si>
  <si>
    <t>Collaboratore amministrativo</t>
  </si>
  <si>
    <t>Personale religioso in convenzione</t>
  </si>
  <si>
    <t>Profilo Giuridico</t>
  </si>
  <si>
    <t>Tecnico della fisiopatologia card e perf cardiovascolare</t>
  </si>
  <si>
    <t>num.</t>
  </si>
  <si>
    <t>IRAP (+)</t>
  </si>
  <si>
    <t>equo indennizzo (+)</t>
  </si>
  <si>
    <t>categ. protette (-)</t>
  </si>
  <si>
    <t>rinnovi contrattuali (-)</t>
  </si>
  <si>
    <t>TOTALE PL (PL+DH+EQ)</t>
  </si>
  <si>
    <t xml:space="preserve">NUMERO INF </t>
  </si>
  <si>
    <t xml:space="preserve">NUMERO MEDICI </t>
  </si>
  <si>
    <t>Presenti 
TI+TD+LP+COCOCO
31/12/2020</t>
  </si>
  <si>
    <t>presenti</t>
  </si>
  <si>
    <t>CPS Biologo</t>
  </si>
  <si>
    <t>ausiliari</t>
  </si>
  <si>
    <t xml:space="preserve">Assistente religioso   ( D ) </t>
  </si>
  <si>
    <t>UROLOGIA PEDIATRICA</t>
  </si>
  <si>
    <t>POSTI LETTO RETE</t>
  </si>
  <si>
    <t>TOTALE RETE</t>
  </si>
  <si>
    <t>delta</t>
  </si>
  <si>
    <t>DELTA</t>
  </si>
  <si>
    <t>tetto di spesa</t>
  </si>
  <si>
    <t>Ausiliari (ad esaurumento)</t>
  </si>
  <si>
    <t xml:space="preserve">PREVISIONE NUMERO MEDICI  </t>
  </si>
  <si>
    <t>PREVISIONE NUMERO INFERMIERI</t>
  </si>
  <si>
    <t xml:space="preserve">Dirigenti SNM Pedagogista </t>
  </si>
  <si>
    <t>CRT</t>
  </si>
  <si>
    <t>Dirigenti SNM chimico farmaceutico</t>
  </si>
  <si>
    <t>costo unitario</t>
  </si>
  <si>
    <t>costo netto dotazione</t>
  </si>
  <si>
    <t>Dirigente Psicologo</t>
  </si>
  <si>
    <t>Dirigente Fisico</t>
  </si>
  <si>
    <t>Dirigente Pedagogista</t>
  </si>
  <si>
    <t>Dirigente  Chimico farmaceutico</t>
  </si>
  <si>
    <t>Dirigente  Analista</t>
  </si>
  <si>
    <t>Dirigente Avvocato</t>
  </si>
  <si>
    <t>Dirigente Ingegnere</t>
  </si>
  <si>
    <t>Patologie Infettive Popolazioni Vulnerabili</t>
  </si>
  <si>
    <t>diabetologia e Malattie metaboliche</t>
  </si>
  <si>
    <t xml:space="preserve">oss </t>
  </si>
  <si>
    <t>medici e odontoiatri</t>
  </si>
  <si>
    <t>Dirigente  Medico e dirigente odontoiatra</t>
  </si>
  <si>
    <t>chirurgia in uremico ed in trapianto di reni</t>
  </si>
  <si>
    <t xml:space="preserve">SD </t>
  </si>
  <si>
    <t>Collaboratore professionale sanitario - odontotecnico (D/Ds)</t>
  </si>
  <si>
    <t>Odontotecnico</t>
  </si>
  <si>
    <t>d</t>
  </si>
  <si>
    <t>s</t>
  </si>
  <si>
    <t>emerg</t>
  </si>
  <si>
    <t>gen</t>
  </si>
  <si>
    <t>Dirigente odontoiatria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</si>
</sst>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[$€-410]\ #,##0.00;[Red]\-[$€-410]\ #,##0.00"/>
    <numFmt numFmtId="174" formatCode="_-&quot;€ &quot;* #,##0.00_-;&quot;-€ &quot;* #,##0.00_-;_-&quot;€ &quot;* \-??_-;_-@_-"/>
    <numFmt numFmtId="175" formatCode="[$-410]dd\-mmm"/>
  </numFmts>
  <fonts count="53">
    <font>
      <sz val="12"/>
      <color indexed="8"/>
      <name val="Verdana"/>
      <family val="0"/>
    </font>
    <font>
      <sz val="10"/>
      <name val="Arial"/>
      <family val="0"/>
    </font>
    <font>
      <sz val="10"/>
      <name val="MS Sans Serif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Verdana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39"/>
      <name val="Verdana"/>
      <family val="2"/>
    </font>
    <font>
      <u val="single"/>
      <sz val="12"/>
      <color indexed="20"/>
      <name val="Verdana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Verdana"/>
      <family val="2"/>
    </font>
    <font>
      <u val="single"/>
      <sz val="12"/>
      <color theme="11"/>
      <name val="Verdana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10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 applyNumberFormat="0" applyFill="0" applyBorder="0" applyProtection="0">
      <alignment vertical="top" wrapText="1"/>
    </xf>
    <xf numFmtId="0" fontId="40" fillId="28" borderId="1" applyNumberFormat="0" applyAlignment="0" applyProtection="0"/>
    <xf numFmtId="172" fontId="0" fillId="0" borderId="0" applyFill="0" applyBorder="0" applyProtection="0">
      <alignment vertical="top" wrapText="1"/>
    </xf>
    <xf numFmtId="169" fontId="1" fillId="0" borderId="0" applyFill="0" applyBorder="0" applyAlignment="0" applyProtection="0"/>
    <xf numFmtId="172" fontId="0" fillId="0" borderId="0" applyFill="0" applyBorder="0" applyProtection="0">
      <alignment vertical="top" wrapText="1"/>
    </xf>
    <xf numFmtId="172" fontId="0" fillId="0" borderId="0" applyFill="0" applyBorder="0" applyProtection="0">
      <alignment vertical="top" wrapText="1"/>
    </xf>
    <xf numFmtId="0" fontId="41" fillId="29" borderId="0" applyNumberFormat="0" applyBorder="0" applyAlignment="0" applyProtection="0"/>
    <xf numFmtId="0" fontId="2" fillId="0" borderId="0">
      <alignment/>
      <protection/>
    </xf>
    <xf numFmtId="173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Protection="0">
      <alignment vertical="top" wrapText="1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243">
    <xf numFmtId="0" fontId="0" fillId="0" borderId="0" xfId="0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6" fillId="33" borderId="10" xfId="0" applyNumberFormat="1" applyFont="1" applyFill="1" applyBorder="1" applyAlignment="1">
      <alignment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4" fillId="0" borderId="11" xfId="0" applyNumberFormat="1" applyFont="1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72" fontId="0" fillId="0" borderId="0" xfId="46" applyFont="1" applyFill="1" applyBorder="1" applyAlignment="1" applyProtection="1">
      <alignment vertical="top" wrapText="1"/>
      <protection/>
    </xf>
    <xf numFmtId="0" fontId="4" fillId="0" borderId="12" xfId="0" applyNumberFormat="1" applyFont="1" applyBorder="1" applyAlignment="1">
      <alignment vertical="top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vertical="top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vertical="top" wrapText="1"/>
    </xf>
    <xf numFmtId="1" fontId="6" fillId="0" borderId="12" xfId="0" applyNumberFormat="1" applyFont="1" applyBorder="1" applyAlignment="1">
      <alignment/>
    </xf>
    <xf numFmtId="1" fontId="6" fillId="0" borderId="13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horizontal="right" vertical="top" wrapText="1"/>
    </xf>
    <xf numFmtId="0" fontId="6" fillId="33" borderId="13" xfId="0" applyNumberFormat="1" applyFont="1" applyFill="1" applyBorder="1" applyAlignment="1">
      <alignment vertical="top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top" wrapText="1"/>
    </xf>
    <xf numFmtId="49" fontId="1" fillId="0" borderId="0" xfId="58" applyNumberFormat="1" applyFill="1">
      <alignment/>
      <protection/>
    </xf>
    <xf numFmtId="0" fontId="1" fillId="0" borderId="0" xfId="58" applyFill="1">
      <alignment/>
      <protection/>
    </xf>
    <xf numFmtId="0" fontId="1" fillId="0" borderId="13" xfId="58" applyFill="1" applyBorder="1">
      <alignment/>
      <protection/>
    </xf>
    <xf numFmtId="49" fontId="1" fillId="0" borderId="12" xfId="58" applyNumberFormat="1" applyFont="1" applyFill="1" applyBorder="1">
      <alignment/>
      <protection/>
    </xf>
    <xf numFmtId="1" fontId="1" fillId="0" borderId="13" xfId="58" applyNumberFormat="1" applyFill="1" applyBorder="1">
      <alignment/>
      <protection/>
    </xf>
    <xf numFmtId="1" fontId="1" fillId="0" borderId="0" xfId="58" applyNumberFormat="1" applyFill="1">
      <alignment/>
      <protection/>
    </xf>
    <xf numFmtId="0" fontId="8" fillId="0" borderId="13" xfId="62" applyFont="1" applyFill="1" applyBorder="1" applyAlignment="1">
      <alignment horizontal="center" vertical="center" wrapText="1"/>
      <protection/>
    </xf>
    <xf numFmtId="0" fontId="1" fillId="0" borderId="13" xfId="62" applyFill="1" applyBorder="1">
      <alignment/>
      <protection/>
    </xf>
    <xf numFmtId="49" fontId="1" fillId="0" borderId="12" xfId="62" applyNumberFormat="1" applyFont="1" applyFill="1" applyBorder="1">
      <alignment/>
      <protection/>
    </xf>
    <xf numFmtId="0" fontId="6" fillId="34" borderId="13" xfId="0" applyNumberFormat="1" applyFont="1" applyFill="1" applyBorder="1" applyAlignment="1">
      <alignment horizontal="center" vertical="center" wrapText="1"/>
    </xf>
    <xf numFmtId="0" fontId="8" fillId="34" borderId="14" xfId="0" applyNumberFormat="1" applyFont="1" applyFill="1" applyBorder="1" applyAlignment="1">
      <alignment horizontal="center" vertical="center" wrapText="1"/>
    </xf>
    <xf numFmtId="175" fontId="6" fillId="33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top" wrapText="1"/>
    </xf>
    <xf numFmtId="0" fontId="4" fillId="0" borderId="13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 wrapText="1"/>
    </xf>
    <xf numFmtId="1" fontId="4" fillId="0" borderId="13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/>
    </xf>
    <xf numFmtId="3" fontId="4" fillId="0" borderId="18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left"/>
    </xf>
    <xf numFmtId="1" fontId="6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9" fillId="34" borderId="13" xfId="0" applyNumberFormat="1" applyFont="1" applyFill="1" applyBorder="1" applyAlignment="1">
      <alignment horizontal="right" vertical="center"/>
    </xf>
    <xf numFmtId="3" fontId="6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left" vertical="center"/>
    </xf>
    <xf numFmtId="0" fontId="4" fillId="0" borderId="24" xfId="0" applyNumberFormat="1" applyFont="1" applyFill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/>
    </xf>
    <xf numFmtId="0" fontId="8" fillId="34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vertical="top" wrapText="1"/>
    </xf>
    <xf numFmtId="0" fontId="4" fillId="0" borderId="13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 vertical="center"/>
    </xf>
    <xf numFmtId="1" fontId="4" fillId="0" borderId="26" xfId="0" applyNumberFormat="1" applyFont="1" applyBorder="1" applyAlignment="1">
      <alignment horizontal="left"/>
    </xf>
    <xf numFmtId="1" fontId="4" fillId="0" borderId="26" xfId="0" applyNumberFormat="1" applyFont="1" applyBorder="1" applyAlignment="1">
      <alignment vertical="center"/>
    </xf>
    <xf numFmtId="1" fontId="4" fillId="0" borderId="26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0" fontId="0" fillId="33" borderId="0" xfId="0" applyNumberFormat="1" applyFont="1" applyFill="1" applyAlignment="1">
      <alignment vertical="top" wrapText="1"/>
    </xf>
    <xf numFmtId="0" fontId="1" fillId="0" borderId="13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vertical="top" wrapText="1"/>
    </xf>
    <xf numFmtId="1" fontId="4" fillId="0" borderId="13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172" fontId="0" fillId="0" borderId="27" xfId="46" applyFont="1" applyBorder="1">
      <alignment vertical="top" wrapText="1"/>
    </xf>
    <xf numFmtId="0" fontId="11" fillId="0" borderId="27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172" fontId="12" fillId="0" borderId="27" xfId="46" applyFont="1" applyBorder="1">
      <alignment vertical="top" wrapText="1"/>
    </xf>
    <xf numFmtId="0" fontId="12" fillId="0" borderId="0" xfId="0" applyFont="1" applyAlignment="1">
      <alignment vertical="top" wrapText="1"/>
    </xf>
    <xf numFmtId="172" fontId="11" fillId="0" borderId="27" xfId="0" applyNumberFormat="1" applyFont="1" applyBorder="1" applyAlignment="1">
      <alignment vertical="top" wrapText="1"/>
    </xf>
    <xf numFmtId="171" fontId="11" fillId="0" borderId="27" xfId="0" applyNumberFormat="1" applyFont="1" applyBorder="1" applyAlignment="1">
      <alignment vertical="top" wrapText="1"/>
    </xf>
    <xf numFmtId="172" fontId="11" fillId="0" borderId="0" xfId="46" applyFont="1" applyFill="1" applyBorder="1">
      <alignment vertical="top" wrapText="1"/>
    </xf>
    <xf numFmtId="0" fontId="11" fillId="0" borderId="0" xfId="0" applyFont="1" applyAlignment="1">
      <alignment vertical="top" wrapText="1"/>
    </xf>
    <xf numFmtId="3" fontId="4" fillId="35" borderId="13" xfId="0" applyNumberFormat="1" applyFont="1" applyFill="1" applyBorder="1" applyAlignment="1">
      <alignment horizontal="center" vertical="center"/>
    </xf>
    <xf numFmtId="0" fontId="6" fillId="36" borderId="13" xfId="0" applyNumberFormat="1" applyFont="1" applyFill="1" applyBorder="1" applyAlignment="1">
      <alignment horizontal="center" vertical="center" wrapText="1"/>
    </xf>
    <xf numFmtId="3" fontId="4" fillId="35" borderId="13" xfId="0" applyNumberFormat="1" applyFont="1" applyFill="1" applyBorder="1" applyAlignment="1">
      <alignment horizontal="center"/>
    </xf>
    <xf numFmtId="1" fontId="4" fillId="35" borderId="20" xfId="0" applyNumberFormat="1" applyFont="1" applyFill="1" applyBorder="1" applyAlignment="1">
      <alignment/>
    </xf>
    <xf numFmtId="0" fontId="4" fillId="35" borderId="13" xfId="0" applyNumberFormat="1" applyFont="1" applyFill="1" applyBorder="1" applyAlignment="1">
      <alignment horizontal="center" vertical="center"/>
    </xf>
    <xf numFmtId="0" fontId="4" fillId="35" borderId="13" xfId="0" applyNumberFormat="1" applyFont="1" applyFill="1" applyBorder="1" applyAlignment="1">
      <alignment horizontal="center" vertical="center" wrapText="1"/>
    </xf>
    <xf numFmtId="1" fontId="4" fillId="35" borderId="25" xfId="0" applyNumberFormat="1" applyFont="1" applyFill="1" applyBorder="1" applyAlignment="1">
      <alignment vertical="center"/>
    </xf>
    <xf numFmtId="1" fontId="4" fillId="35" borderId="26" xfId="0" applyNumberFormat="1" applyFont="1" applyFill="1" applyBorder="1" applyAlignment="1">
      <alignment vertical="center"/>
    </xf>
    <xf numFmtId="0" fontId="1" fillId="35" borderId="13" xfId="0" applyNumberFormat="1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3" fontId="4" fillId="37" borderId="13" xfId="0" applyNumberFormat="1" applyFont="1" applyFill="1" applyBorder="1" applyAlignment="1">
      <alignment horizontal="center" vertical="center"/>
    </xf>
    <xf numFmtId="0" fontId="4" fillId="37" borderId="13" xfId="0" applyNumberFormat="1" applyFont="1" applyFill="1" applyBorder="1" applyAlignment="1">
      <alignment horizontal="center" vertical="center"/>
    </xf>
    <xf numFmtId="3" fontId="4" fillId="38" borderId="13" xfId="0" applyNumberFormat="1" applyFont="1" applyFill="1" applyBorder="1" applyAlignment="1">
      <alignment horizontal="center"/>
    </xf>
    <xf numFmtId="1" fontId="4" fillId="38" borderId="13" xfId="0" applyNumberFormat="1" applyFont="1" applyFill="1" applyBorder="1" applyAlignment="1">
      <alignment horizontal="center" vertical="center"/>
    </xf>
    <xf numFmtId="3" fontId="4" fillId="38" borderId="12" xfId="0" applyNumberFormat="1" applyFont="1" applyFill="1" applyBorder="1" applyAlignment="1">
      <alignment horizontal="center" vertical="center"/>
    </xf>
    <xf numFmtId="0" fontId="0" fillId="38" borderId="0" xfId="0" applyNumberFormat="1" applyFont="1" applyFill="1" applyAlignment="1">
      <alignment vertical="top" wrapText="1"/>
    </xf>
    <xf numFmtId="1" fontId="6" fillId="38" borderId="13" xfId="0" applyNumberFormat="1" applyFont="1" applyFill="1" applyBorder="1" applyAlignment="1">
      <alignment horizontal="center" vertical="center"/>
    </xf>
    <xf numFmtId="3" fontId="6" fillId="38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top" wrapText="1"/>
    </xf>
    <xf numFmtId="0" fontId="11" fillId="0" borderId="27" xfId="0" applyFont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0" xfId="62" applyFill="1">
      <alignment/>
      <protection/>
    </xf>
    <xf numFmtId="0" fontId="0" fillId="0" borderId="0" xfId="0" applyFont="1" applyFill="1" applyAlignment="1">
      <alignment vertical="top" wrapText="1"/>
    </xf>
    <xf numFmtId="0" fontId="4" fillId="0" borderId="13" xfId="0" applyNumberFormat="1" applyFont="1" applyBorder="1" applyAlignment="1">
      <alignment horizontal="left" vertical="center"/>
    </xf>
    <xf numFmtId="49" fontId="8" fillId="0" borderId="12" xfId="58" applyNumberFormat="1" applyFont="1" applyFill="1" applyBorder="1" applyAlignment="1">
      <alignment horizontal="center" vertical="center" wrapText="1"/>
      <protection/>
    </xf>
    <xf numFmtId="49" fontId="1" fillId="0" borderId="15" xfId="58" applyNumberFormat="1" applyFont="1" applyFill="1" applyBorder="1">
      <alignment/>
      <protection/>
    </xf>
    <xf numFmtId="49" fontId="1" fillId="0" borderId="28" xfId="58" applyNumberFormat="1" applyFont="1" applyFill="1" applyBorder="1">
      <alignment/>
      <protection/>
    </xf>
    <xf numFmtId="49" fontId="1" fillId="0" borderId="29" xfId="58" applyNumberFormat="1" applyFont="1" applyFill="1" applyBorder="1">
      <alignment/>
      <protection/>
    </xf>
    <xf numFmtId="49" fontId="1" fillId="0" borderId="30" xfId="58" applyNumberFormat="1" applyFont="1" applyFill="1" applyBorder="1">
      <alignment/>
      <protection/>
    </xf>
    <xf numFmtId="49" fontId="1" fillId="0" borderId="11" xfId="58" applyNumberFormat="1" applyFont="1" applyFill="1" applyBorder="1">
      <alignment/>
      <protection/>
    </xf>
    <xf numFmtId="0" fontId="1" fillId="0" borderId="10" xfId="58" applyFill="1" applyBorder="1">
      <alignment/>
      <protection/>
    </xf>
    <xf numFmtId="49" fontId="8" fillId="0" borderId="27" xfId="58" applyNumberFormat="1" applyFont="1" applyFill="1" applyBorder="1" applyAlignment="1">
      <alignment horizontal="center" vertical="center" wrapText="1"/>
      <protection/>
    </xf>
    <xf numFmtId="0" fontId="8" fillId="0" borderId="27" xfId="58" applyFont="1" applyFill="1" applyBorder="1" applyAlignment="1">
      <alignment horizontal="center" vertical="center" wrapText="1"/>
      <protection/>
    </xf>
    <xf numFmtId="49" fontId="1" fillId="0" borderId="27" xfId="58" applyNumberFormat="1" applyFont="1" applyFill="1" applyBorder="1">
      <alignment/>
      <protection/>
    </xf>
    <xf numFmtId="0" fontId="4" fillId="0" borderId="27" xfId="59" applyNumberFormat="1" applyFont="1" applyFill="1" applyBorder="1" applyAlignment="1" applyProtection="1">
      <alignment horizontal="left"/>
      <protection/>
    </xf>
    <xf numFmtId="0" fontId="4" fillId="0" borderId="27" xfId="59" applyNumberFormat="1" applyFont="1" applyFill="1" applyBorder="1" applyAlignment="1" applyProtection="1">
      <alignment horizontal="center"/>
      <protection/>
    </xf>
    <xf numFmtId="0" fontId="4" fillId="0" borderId="27" xfId="59" applyNumberFormat="1" applyFont="1" applyFill="1" applyBorder="1" applyAlignment="1" applyProtection="1">
      <alignment horizontal="left" vertical="center"/>
      <protection/>
    </xf>
    <xf numFmtId="0" fontId="4" fillId="0" borderId="27" xfId="59" applyNumberFormat="1" applyFont="1" applyFill="1" applyBorder="1" applyAlignment="1" applyProtection="1">
      <alignment horizontal="center" vertical="center"/>
      <protection/>
    </xf>
    <xf numFmtId="1" fontId="4" fillId="0" borderId="27" xfId="61" applyNumberFormat="1" applyFont="1" applyFill="1" applyBorder="1" applyAlignment="1" applyProtection="1">
      <alignment horizontal="center" vertical="top" wrapText="1"/>
      <protection/>
    </xf>
    <xf numFmtId="2" fontId="4" fillId="0" borderId="27" xfId="61" applyNumberFormat="1" applyFont="1" applyFill="1" applyBorder="1" applyAlignment="1" applyProtection="1">
      <alignment horizontal="center" vertical="top" wrapText="1"/>
      <protection/>
    </xf>
    <xf numFmtId="0" fontId="1" fillId="0" borderId="27" xfId="58" applyFill="1" applyBorder="1" applyAlignment="1">
      <alignment horizontal="center"/>
      <protection/>
    </xf>
    <xf numFmtId="0" fontId="4" fillId="0" borderId="27" xfId="59" applyNumberFormat="1" applyFont="1" applyFill="1" applyBorder="1" applyAlignment="1" applyProtection="1">
      <alignment horizontal="center" vertical="center" wrapText="1"/>
      <protection/>
    </xf>
    <xf numFmtId="49" fontId="8" fillId="0" borderId="12" xfId="62" applyNumberFormat="1" applyFont="1" applyFill="1" applyBorder="1" applyAlignment="1">
      <alignment horizontal="center" vertical="center" wrapText="1"/>
      <protection/>
    </xf>
    <xf numFmtId="49" fontId="1" fillId="0" borderId="15" xfId="62" applyNumberFormat="1" applyFont="1" applyFill="1" applyBorder="1">
      <alignment/>
      <protection/>
    </xf>
    <xf numFmtId="49" fontId="1" fillId="0" borderId="28" xfId="62" applyNumberFormat="1" applyFont="1" applyFill="1" applyBorder="1">
      <alignment/>
      <protection/>
    </xf>
    <xf numFmtId="49" fontId="1" fillId="0" borderId="29" xfId="62" applyNumberFormat="1" applyFont="1" applyFill="1" applyBorder="1">
      <alignment/>
      <protection/>
    </xf>
    <xf numFmtId="49" fontId="1" fillId="0" borderId="30" xfId="62" applyNumberFormat="1" applyFont="1" applyFill="1" applyBorder="1">
      <alignment/>
      <protection/>
    </xf>
    <xf numFmtId="49" fontId="1" fillId="0" borderId="11" xfId="62" applyNumberFormat="1" applyFont="1" applyFill="1" applyBorder="1">
      <alignment/>
      <protection/>
    </xf>
    <xf numFmtId="49" fontId="1" fillId="0" borderId="0" xfId="62" applyNumberFormat="1" applyFont="1" applyFill="1" applyBorder="1">
      <alignment/>
      <protection/>
    </xf>
    <xf numFmtId="0" fontId="8" fillId="0" borderId="31" xfId="62" applyFont="1" applyFill="1" applyBorder="1" applyAlignment="1">
      <alignment horizontal="center" vertical="center" wrapText="1"/>
      <protection/>
    </xf>
    <xf numFmtId="0" fontId="1" fillId="0" borderId="31" xfId="62" applyFill="1" applyBorder="1">
      <alignment/>
      <protection/>
    </xf>
    <xf numFmtId="49" fontId="8" fillId="0" borderId="27" xfId="62" applyNumberFormat="1" applyFont="1" applyFill="1" applyBorder="1" applyAlignment="1">
      <alignment horizontal="center" vertical="center" wrapText="1"/>
      <protection/>
    </xf>
    <xf numFmtId="0" fontId="8" fillId="0" borderId="27" xfId="62" applyFont="1" applyFill="1" applyBorder="1" applyAlignment="1">
      <alignment horizontal="center" vertical="center" wrapText="1"/>
      <protection/>
    </xf>
    <xf numFmtId="49" fontId="1" fillId="0" borderId="27" xfId="62" applyNumberFormat="1" applyFont="1" applyFill="1" applyBorder="1">
      <alignment/>
      <protection/>
    </xf>
    <xf numFmtId="0" fontId="4" fillId="0" borderId="27" xfId="60" applyNumberFormat="1" applyFont="1" applyFill="1" applyBorder="1" applyAlignment="1" applyProtection="1">
      <alignment horizontal="left"/>
      <protection/>
    </xf>
    <xf numFmtId="0" fontId="4" fillId="0" borderId="27" xfId="60" applyNumberFormat="1" applyFont="1" applyFill="1" applyBorder="1" applyAlignment="1" applyProtection="1">
      <alignment horizontal="center"/>
      <protection/>
    </xf>
    <xf numFmtId="1" fontId="4" fillId="0" borderId="27" xfId="60" applyNumberFormat="1" applyFont="1" applyFill="1" applyBorder="1" applyAlignment="1" applyProtection="1">
      <alignment horizontal="center" vertical="top" wrapText="1"/>
      <protection/>
    </xf>
    <xf numFmtId="2" fontId="4" fillId="0" borderId="27" xfId="60" applyNumberFormat="1" applyFont="1" applyFill="1" applyBorder="1" applyAlignment="1" applyProtection="1">
      <alignment horizontal="center" vertical="top" wrapText="1"/>
      <protection/>
    </xf>
    <xf numFmtId="0" fontId="1" fillId="0" borderId="27" xfId="62" applyFill="1" applyBorder="1">
      <alignment/>
      <protection/>
    </xf>
    <xf numFmtId="0" fontId="4" fillId="0" borderId="27" xfId="60" applyNumberFormat="1" applyFont="1" applyFill="1" applyBorder="1" applyAlignment="1" applyProtection="1">
      <alignment horizontal="left" vertical="center"/>
      <protection/>
    </xf>
    <xf numFmtId="0" fontId="4" fillId="0" borderId="27" xfId="60" applyNumberFormat="1" applyFont="1" applyFill="1" applyBorder="1" applyAlignment="1" applyProtection="1">
      <alignment horizontal="center" vertical="center"/>
      <protection/>
    </xf>
    <xf numFmtId="0" fontId="1" fillId="0" borderId="27" xfId="62" applyFont="1" applyFill="1" applyBorder="1" applyAlignment="1">
      <alignment horizontal="center"/>
      <protection/>
    </xf>
    <xf numFmtId="49" fontId="8" fillId="0" borderId="27" xfId="62" applyNumberFormat="1" applyFont="1" applyFill="1" applyBorder="1">
      <alignment/>
      <protection/>
    </xf>
    <xf numFmtId="0" fontId="4" fillId="0" borderId="27" xfId="60" applyNumberFormat="1" applyFont="1" applyFill="1" applyBorder="1" applyAlignment="1" applyProtection="1">
      <alignment horizontal="center" vertical="center" wrapText="1"/>
      <protection/>
    </xf>
    <xf numFmtId="2" fontId="1" fillId="0" borderId="27" xfId="62" applyNumberFormat="1" applyFill="1" applyBorder="1">
      <alignment/>
      <protection/>
    </xf>
    <xf numFmtId="0" fontId="12" fillId="35" borderId="27" xfId="0" applyFont="1" applyFill="1" applyBorder="1" applyAlignment="1">
      <alignment vertical="top" wrapText="1"/>
    </xf>
    <xf numFmtId="49" fontId="1" fillId="0" borderId="32" xfId="58" applyNumberFormat="1" applyFont="1" applyFill="1" applyBorder="1">
      <alignment/>
      <protection/>
    </xf>
    <xf numFmtId="1" fontId="4" fillId="14" borderId="27" xfId="59" applyNumberFormat="1" applyFont="1" applyFill="1" applyBorder="1" applyAlignment="1" applyProtection="1">
      <alignment horizontal="center" vertical="top" wrapText="1"/>
      <protection/>
    </xf>
    <xf numFmtId="1" fontId="1" fillId="0" borderId="27" xfId="58" applyNumberFormat="1" applyFill="1" applyBorder="1">
      <alignment/>
      <protection/>
    </xf>
    <xf numFmtId="49" fontId="1" fillId="0" borderId="32" xfId="62" applyNumberFormat="1" applyFont="1" applyFill="1" applyBorder="1">
      <alignment/>
      <protection/>
    </xf>
    <xf numFmtId="1" fontId="1" fillId="38" borderId="27" xfId="62" applyNumberFormat="1" applyFill="1" applyBorder="1">
      <alignment/>
      <protection/>
    </xf>
    <xf numFmtId="0" fontId="1" fillId="38" borderId="27" xfId="62" applyFill="1" applyBorder="1">
      <alignment/>
      <protection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1" fillId="0" borderId="0" xfId="58" applyFill="1" applyAlignment="1">
      <alignment horizontal="center"/>
      <protection/>
    </xf>
    <xf numFmtId="0" fontId="11" fillId="0" borderId="0" xfId="0" applyFont="1" applyAlignment="1">
      <alignment horizontal="right" vertical="top" wrapText="1"/>
    </xf>
    <xf numFmtId="0" fontId="12" fillId="0" borderId="27" xfId="0" applyFont="1" applyFill="1" applyBorder="1" applyAlignment="1">
      <alignment vertical="top" wrapText="1"/>
    </xf>
    <xf numFmtId="0" fontId="1" fillId="0" borderId="27" xfId="58" applyFill="1" applyBorder="1">
      <alignment/>
      <protection/>
    </xf>
    <xf numFmtId="1" fontId="4" fillId="0" borderId="27" xfId="59" applyNumberFormat="1" applyFont="1" applyFill="1" applyBorder="1" applyAlignment="1" applyProtection="1">
      <alignment horizontal="center" vertical="top" wrapText="1"/>
      <protection/>
    </xf>
    <xf numFmtId="2" fontId="4" fillId="0" borderId="27" xfId="59" applyNumberFormat="1" applyFont="1" applyFill="1" applyBorder="1" applyAlignment="1" applyProtection="1">
      <alignment horizontal="center" vertical="top" wrapText="1"/>
      <protection/>
    </xf>
    <xf numFmtId="1" fontId="1" fillId="0" borderId="27" xfId="61" applyNumberFormat="1" applyFont="1" applyFill="1" applyBorder="1" applyAlignment="1" applyProtection="1">
      <alignment horizontal="center" vertical="top" wrapText="1"/>
      <protection/>
    </xf>
    <xf numFmtId="1" fontId="1" fillId="0" borderId="10" xfId="58" applyNumberFormat="1" applyFill="1" applyBorder="1">
      <alignment/>
      <protection/>
    </xf>
    <xf numFmtId="0" fontId="8" fillId="0" borderId="27" xfId="58" applyFont="1" applyFill="1" applyBorder="1" applyAlignment="1">
      <alignment horizontal="center"/>
      <protection/>
    </xf>
    <xf numFmtId="0" fontId="8" fillId="0" borderId="0" xfId="62" applyFont="1" applyFill="1">
      <alignment/>
      <protection/>
    </xf>
    <xf numFmtId="1" fontId="8" fillId="0" borderId="10" xfId="62" applyNumberFormat="1" applyFont="1" applyFill="1" applyBorder="1">
      <alignment/>
      <protection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1" fontId="8" fillId="0" borderId="10" xfId="62" applyNumberFormat="1" applyFont="1" applyFill="1" applyBorder="1" applyAlignment="1">
      <alignment horizontal="center"/>
      <protection/>
    </xf>
    <xf numFmtId="0" fontId="9" fillId="34" borderId="13" xfId="0" applyNumberFormat="1" applyFont="1" applyFill="1" applyBorder="1" applyAlignment="1">
      <alignment horizontal="center" vertical="center"/>
    </xf>
    <xf numFmtId="1" fontId="4" fillId="35" borderId="25" xfId="0" applyNumberFormat="1" applyFont="1" applyFill="1" applyBorder="1" applyAlignment="1">
      <alignment horizontal="center" vertical="center"/>
    </xf>
    <xf numFmtId="0" fontId="8" fillId="0" borderId="10" xfId="58" applyFont="1" applyFill="1" applyBorder="1">
      <alignment/>
      <protection/>
    </xf>
    <xf numFmtId="0" fontId="8" fillId="0" borderId="13" xfId="58" applyFont="1" applyFill="1" applyBorder="1">
      <alignment/>
      <protection/>
    </xf>
    <xf numFmtId="1" fontId="4" fillId="0" borderId="33" xfId="59" applyNumberFormat="1" applyFont="1" applyFill="1" applyBorder="1" applyAlignment="1" applyProtection="1">
      <alignment horizontal="center" vertical="top" wrapText="1"/>
      <protection/>
    </xf>
    <xf numFmtId="1" fontId="1" fillId="0" borderId="11" xfId="58" applyNumberFormat="1" applyFill="1" applyBorder="1">
      <alignment/>
      <protection/>
    </xf>
    <xf numFmtId="0" fontId="1" fillId="0" borderId="33" xfId="58" applyFill="1" applyBorder="1">
      <alignment/>
      <protection/>
    </xf>
    <xf numFmtId="0" fontId="1" fillId="0" borderId="27" xfId="58" applyFont="1" applyFill="1" applyBorder="1">
      <alignment/>
      <protection/>
    </xf>
    <xf numFmtId="0" fontId="0" fillId="0" borderId="27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horizontal="center" vertical="top" wrapText="1"/>
    </xf>
    <xf numFmtId="172" fontId="12" fillId="0" borderId="27" xfId="46" applyFont="1" applyFill="1" applyBorder="1">
      <alignment vertical="top" wrapText="1"/>
    </xf>
    <xf numFmtId="0" fontId="6" fillId="0" borderId="27" xfId="59" applyNumberFormat="1" applyFont="1" applyFill="1" applyBorder="1" applyAlignment="1" applyProtection="1">
      <alignment horizontal="center" vertical="center"/>
      <protection/>
    </xf>
    <xf numFmtId="1" fontId="6" fillId="0" borderId="27" xfId="59" applyNumberFormat="1" applyFont="1" applyFill="1" applyBorder="1" applyAlignment="1" applyProtection="1">
      <alignment horizontal="center" vertical="top" wrapText="1"/>
      <protection/>
    </xf>
    <xf numFmtId="2" fontId="6" fillId="0" borderId="27" xfId="59" applyNumberFormat="1" applyFont="1" applyFill="1" applyBorder="1" applyAlignment="1" applyProtection="1">
      <alignment horizontal="center" vertical="top" wrapText="1"/>
      <protection/>
    </xf>
    <xf numFmtId="0" fontId="8" fillId="0" borderId="27" xfId="58" applyFont="1" applyFill="1" applyBorder="1">
      <alignment/>
      <protection/>
    </xf>
    <xf numFmtId="1" fontId="8" fillId="0" borderId="27" xfId="58" applyNumberFormat="1" applyFont="1" applyFill="1" applyBorder="1">
      <alignment/>
      <protection/>
    </xf>
    <xf numFmtId="0" fontId="6" fillId="0" borderId="27" xfId="59" applyNumberFormat="1" applyFont="1" applyFill="1" applyBorder="1" applyAlignment="1" applyProtection="1">
      <alignment horizontal="center"/>
      <protection/>
    </xf>
    <xf numFmtId="1" fontId="6" fillId="0" borderId="27" xfId="61" applyNumberFormat="1" applyFont="1" applyFill="1" applyBorder="1" applyAlignment="1" applyProtection="1">
      <alignment horizontal="center" vertical="top" wrapText="1"/>
      <protection/>
    </xf>
    <xf numFmtId="0" fontId="1" fillId="0" borderId="27" xfId="58" applyFont="1" applyFill="1" applyBorder="1" applyAlignment="1">
      <alignment horizontal="center"/>
      <protection/>
    </xf>
    <xf numFmtId="49" fontId="1" fillId="0" borderId="27" xfId="58" applyNumberFormat="1" applyFont="1" applyFill="1" applyBorder="1">
      <alignment/>
      <protection/>
    </xf>
    <xf numFmtId="2" fontId="6" fillId="0" borderId="27" xfId="60" applyNumberFormat="1" applyFont="1" applyFill="1" applyBorder="1" applyAlignment="1" applyProtection="1">
      <alignment horizontal="center" vertical="top" wrapText="1"/>
      <protection/>
    </xf>
    <xf numFmtId="2" fontId="4" fillId="0" borderId="0" xfId="60" applyNumberFormat="1" applyFont="1" applyFill="1" applyBorder="1" applyAlignment="1" applyProtection="1">
      <alignment horizontal="center" vertical="top" wrapText="1"/>
      <protection/>
    </xf>
    <xf numFmtId="2" fontId="6" fillId="0" borderId="0" xfId="60" applyNumberFormat="1" applyFont="1" applyFill="1" applyBorder="1" applyAlignment="1" applyProtection="1">
      <alignment horizontal="center" vertical="top" wrapText="1"/>
      <protection/>
    </xf>
    <xf numFmtId="0" fontId="4" fillId="4" borderId="27" xfId="59" applyNumberFormat="1" applyFont="1" applyFill="1" applyBorder="1" applyAlignment="1" applyProtection="1">
      <alignment horizontal="left"/>
      <protection/>
    </xf>
    <xf numFmtId="0" fontId="4" fillId="4" borderId="27" xfId="59" applyNumberFormat="1" applyFont="1" applyFill="1" applyBorder="1" applyAlignment="1" applyProtection="1">
      <alignment horizontal="left" vertical="center"/>
      <protection/>
    </xf>
    <xf numFmtId="49" fontId="1" fillId="0" borderId="0" xfId="58" applyNumberFormat="1" applyFont="1" applyFill="1" applyBorder="1">
      <alignment/>
      <protection/>
    </xf>
    <xf numFmtId="0" fontId="8" fillId="0" borderId="33" xfId="58" applyFont="1" applyFill="1" applyBorder="1" applyAlignment="1">
      <alignment horizontal="center"/>
      <protection/>
    </xf>
    <xf numFmtId="1" fontId="1" fillId="0" borderId="33" xfId="58" applyNumberFormat="1" applyFill="1" applyBorder="1" applyAlignment="1">
      <alignment horizontal="center"/>
      <protection/>
    </xf>
    <xf numFmtId="0" fontId="4" fillId="4" borderId="13" xfId="0" applyNumberFormat="1" applyFont="1" applyFill="1" applyBorder="1" applyAlignment="1">
      <alignment vertical="center"/>
    </xf>
    <xf numFmtId="0" fontId="1" fillId="4" borderId="13" xfId="0" applyNumberFormat="1" applyFont="1" applyFill="1" applyBorder="1" applyAlignment="1">
      <alignment vertical="center"/>
    </xf>
    <xf numFmtId="0" fontId="12" fillId="4" borderId="27" xfId="0" applyFont="1" applyFill="1" applyBorder="1" applyAlignment="1">
      <alignment vertical="top" wrapText="1"/>
    </xf>
    <xf numFmtId="0" fontId="52" fillId="0" borderId="27" xfId="0" applyFont="1" applyBorder="1" applyAlignment="1">
      <alignment vertical="top" wrapText="1"/>
    </xf>
    <xf numFmtId="171" fontId="0" fillId="0" borderId="0" xfId="0" applyNumberFormat="1" applyAlignment="1">
      <alignment vertical="top" wrapText="1"/>
    </xf>
    <xf numFmtId="0" fontId="4" fillId="4" borderId="13" xfId="0" applyNumberFormat="1" applyFont="1" applyFill="1" applyBorder="1" applyAlignment="1">
      <alignment horizontal="left" vertical="center"/>
    </xf>
    <xf numFmtId="0" fontId="1" fillId="4" borderId="13" xfId="0" applyNumberFormat="1" applyFont="1" applyFill="1" applyBorder="1" applyAlignment="1">
      <alignment vertical="center" wrapText="1"/>
    </xf>
    <xf numFmtId="0" fontId="6" fillId="0" borderId="34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174" fontId="6" fillId="0" borderId="0" xfId="44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/>
    </xf>
    <xf numFmtId="0" fontId="11" fillId="0" borderId="37" xfId="0" applyFont="1" applyBorder="1" applyAlignment="1">
      <alignment horizontal="right" vertical="top" wrapText="1"/>
    </xf>
    <xf numFmtId="0" fontId="11" fillId="0" borderId="38" xfId="0" applyFont="1" applyBorder="1" applyAlignment="1">
      <alignment horizontal="right" vertical="top" wrapText="1"/>
    </xf>
    <xf numFmtId="0" fontId="12" fillId="0" borderId="37" xfId="0" applyFont="1" applyBorder="1" applyAlignment="1">
      <alignment horizontal="right" vertical="top" wrapText="1"/>
    </xf>
    <xf numFmtId="0" fontId="12" fillId="0" borderId="38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Migliaia 33" xfId="49"/>
    <cellStyle name="Neutrale" xfId="50"/>
    <cellStyle name="Normal 2 2" xfId="51"/>
    <cellStyle name="Normal 24" xfId="52"/>
    <cellStyle name="Normal 5" xfId="53"/>
    <cellStyle name="Normal 5 2" xfId="54"/>
    <cellStyle name="Normale 2" xfId="55"/>
    <cellStyle name="Normale 2 2 3" xfId="56"/>
    <cellStyle name="Normale 3 2 2 4 3" xfId="57"/>
    <cellStyle name="Normale_Foglio1" xfId="58"/>
    <cellStyle name="Normale_Foglio1_1" xfId="59"/>
    <cellStyle name="Normale_Foglio1_inf" xfId="60"/>
    <cellStyle name="Normale_Foglio2" xfId="61"/>
    <cellStyle name="Normale_inf" xfId="62"/>
    <cellStyle name="Nota" xfId="63"/>
    <cellStyle name="Output" xfId="64"/>
    <cellStyle name="Percent" xfId="65"/>
    <cellStyle name="Percentuale 2" xfId="66"/>
    <cellStyle name="Testo avviso" xfId="67"/>
    <cellStyle name="Testo descrittivo" xfId="68"/>
    <cellStyle name="Titolo" xfId="69"/>
    <cellStyle name="Titolo 1" xfId="70"/>
    <cellStyle name="Titolo 2" xfId="71"/>
    <cellStyle name="Titolo 3" xfId="72"/>
    <cellStyle name="Titolo 4" xfId="73"/>
    <cellStyle name="Totale" xfId="74"/>
    <cellStyle name="Valore non valido" xfId="75"/>
    <cellStyle name="Valore valido" xfId="76"/>
    <cellStyle name="Currency" xfId="77"/>
    <cellStyle name="Currency [0]" xfId="78"/>
  </cellStyles>
  <dxfs count="7">
    <dxf>
      <font>
        <b val="0"/>
        <sz val="12"/>
        <color indexed="8"/>
      </font>
      <fill>
        <patternFill patternType="solid">
          <fgColor indexed="39"/>
          <bgColor indexed="12"/>
        </patternFill>
      </fill>
    </dxf>
    <dxf>
      <font>
        <b val="0"/>
        <sz val="12"/>
        <color indexed="9"/>
      </font>
    </dxf>
    <dxf>
      <font>
        <b val="0"/>
        <sz val="12"/>
        <color indexed="8"/>
      </font>
      <fill>
        <patternFill patternType="solid">
          <fgColor indexed="39"/>
          <bgColor indexed="12"/>
        </patternFill>
      </fill>
    </dxf>
    <dxf>
      <font>
        <b val="0"/>
        <sz val="12"/>
        <color indexed="9"/>
      </font>
    </dxf>
    <dxf>
      <font>
        <b val="0"/>
        <sz val="12"/>
        <color indexed="8"/>
      </font>
      <fill>
        <patternFill patternType="solid">
          <fgColor indexed="39"/>
          <bgColor indexed="12"/>
        </patternFill>
      </fill>
    </dxf>
    <dxf>
      <font>
        <b val="0"/>
        <sz val="12"/>
        <color rgb="FF000000"/>
      </font>
      <fill>
        <patternFill patternType="solid">
          <fgColor rgb="FF0000FF"/>
          <bgColor rgb="FF0000D4"/>
        </patternFill>
      </fill>
      <border/>
    </dxf>
    <dxf>
      <font>
        <b val="0"/>
        <sz val="12"/>
        <color rgb="FFFEFEF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EFEFE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EFD9B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GridLines="0" zoomScalePageLayoutView="0" workbookViewId="0" topLeftCell="A1">
      <selection activeCell="I11" sqref="I11"/>
    </sheetView>
  </sheetViews>
  <sheetFormatPr defaultColWidth="6.59765625" defaultRowHeight="12.75" customHeight="1"/>
  <cols>
    <col min="1" max="1" width="33" style="1" customWidth="1"/>
    <col min="2" max="2" width="11.5" style="1" customWidth="1"/>
    <col min="3" max="3" width="13.5" style="1" hidden="1" customWidth="1"/>
    <col min="4" max="4" width="9.59765625" style="1" hidden="1" customWidth="1"/>
    <col min="5" max="5" width="13" style="1" customWidth="1"/>
    <col min="6" max="6" width="6.8984375" style="1" customWidth="1"/>
    <col min="7" max="16384" width="6.59765625" style="1" customWidth="1"/>
  </cols>
  <sheetData>
    <row r="1" spans="1:4" ht="15" thickBot="1">
      <c r="A1" s="224" t="s">
        <v>0</v>
      </c>
      <c r="B1" s="225"/>
      <c r="C1" s="225"/>
      <c r="D1" s="226"/>
    </row>
    <row r="2" spans="1:4" ht="39.75" customHeight="1">
      <c r="A2" s="2" t="s">
        <v>1</v>
      </c>
      <c r="B2" s="3" t="s">
        <v>2</v>
      </c>
      <c r="C2" s="4" t="s">
        <v>284</v>
      </c>
      <c r="D2" s="3" t="s">
        <v>3</v>
      </c>
    </row>
    <row r="3" spans="1:5" ht="15" customHeight="1">
      <c r="A3" s="117" t="s">
        <v>313</v>
      </c>
      <c r="B3" s="6">
        <f>+medici!AC81+1</f>
        <v>770</v>
      </c>
      <c r="C3" s="108">
        <v>672</v>
      </c>
      <c r="D3" s="108">
        <f aca="true" t="shared" si="0" ref="D3:D11">+B3-C3</f>
        <v>98</v>
      </c>
      <c r="E3" s="8"/>
    </row>
    <row r="4" spans="1:5" ht="15" customHeight="1">
      <c r="A4" s="119" t="s">
        <v>4</v>
      </c>
      <c r="B4" s="10">
        <f>+inf!P79</f>
        <v>1345</v>
      </c>
      <c r="C4" s="109">
        <v>1353</v>
      </c>
      <c r="D4" s="108">
        <f t="shared" si="0"/>
        <v>-8</v>
      </c>
      <c r="E4" s="8"/>
    </row>
    <row r="5" spans="1:4" ht="15" customHeight="1">
      <c r="A5" s="119" t="s">
        <v>312</v>
      </c>
      <c r="B5" s="10">
        <v>270</v>
      </c>
      <c r="C5" s="110">
        <f>111+209+47</f>
        <v>367</v>
      </c>
      <c r="D5" s="108">
        <f t="shared" si="0"/>
        <v>-97</v>
      </c>
    </row>
    <row r="6" spans="1:4" ht="15" customHeight="1">
      <c r="A6" s="119" t="s">
        <v>287</v>
      </c>
      <c r="B6" s="10">
        <v>15</v>
      </c>
      <c r="C6" s="12"/>
      <c r="D6" s="7">
        <f t="shared" si="0"/>
        <v>15</v>
      </c>
    </row>
    <row r="7" spans="1:4" ht="15" customHeight="1">
      <c r="A7" s="119" t="s">
        <v>5</v>
      </c>
      <c r="B7" s="10">
        <f>85+1+18+15+1</f>
        <v>120</v>
      </c>
      <c r="C7" s="12"/>
      <c r="D7" s="7">
        <f t="shared" si="0"/>
        <v>120</v>
      </c>
    </row>
    <row r="8" spans="1:4" ht="15" customHeight="1">
      <c r="A8" s="119" t="s">
        <v>6</v>
      </c>
      <c r="B8" s="10">
        <f>+'Comparto sanitario'!C21</f>
        <v>268</v>
      </c>
      <c r="C8" s="11"/>
      <c r="D8" s="7">
        <f t="shared" si="0"/>
        <v>268</v>
      </c>
    </row>
    <row r="9" spans="1:4" ht="15" customHeight="1">
      <c r="A9" s="119" t="s">
        <v>7</v>
      </c>
      <c r="B9" s="10">
        <f>49+1+3</f>
        <v>53</v>
      </c>
      <c r="C9" s="11"/>
      <c r="D9" s="7">
        <f t="shared" si="0"/>
        <v>53</v>
      </c>
    </row>
    <row r="10" spans="1:4" ht="15" customHeight="1">
      <c r="A10" s="119" t="s">
        <v>8</v>
      </c>
      <c r="B10" s="13">
        <v>9</v>
      </c>
      <c r="C10" s="11"/>
      <c r="D10" s="7">
        <f t="shared" si="0"/>
        <v>9</v>
      </c>
    </row>
    <row r="11" spans="1:4" ht="15" customHeight="1">
      <c r="A11" s="119" t="s">
        <v>9</v>
      </c>
      <c r="B11" s="10">
        <f>204+10+2</f>
        <v>216</v>
      </c>
      <c r="C11" s="12"/>
      <c r="D11" s="7">
        <f t="shared" si="0"/>
        <v>216</v>
      </c>
    </row>
    <row r="12" spans="1:4" ht="15" customHeight="1">
      <c r="A12" s="14"/>
      <c r="B12" s="15"/>
      <c r="C12" s="16"/>
      <c r="D12" s="16"/>
    </row>
    <row r="13" spans="1:5" ht="15.75" customHeight="1">
      <c r="A13" s="17" t="s">
        <v>10</v>
      </c>
      <c r="B13" s="15">
        <f>SUM(B3:B12)</f>
        <v>3066</v>
      </c>
      <c r="C13" s="15">
        <f>SUM(C3:C12)</f>
        <v>2392</v>
      </c>
      <c r="D13" s="15">
        <f>SUM(D3:D12)</f>
        <v>674</v>
      </c>
      <c r="E13" s="21"/>
    </row>
    <row r="15" spans="1:3" ht="15" customHeight="1">
      <c r="A15" s="20"/>
      <c r="C15" s="21"/>
    </row>
    <row r="16" ht="12.75" customHeight="1" hidden="1"/>
    <row r="17" spans="1:2" ht="12.75" customHeight="1" hidden="1">
      <c r="A17" s="22" t="s">
        <v>11</v>
      </c>
      <c r="B17" s="227">
        <v>165120104</v>
      </c>
    </row>
    <row r="18" spans="1:2" ht="12.75" customHeight="1" hidden="1">
      <c r="A18" s="22" t="s">
        <v>12</v>
      </c>
      <c r="B18" s="227"/>
    </row>
    <row r="19" ht="12.75" customHeight="1" hidden="1"/>
    <row r="20" ht="12.75" customHeight="1" hidden="1"/>
    <row r="21" ht="12.75" customHeight="1" hidden="1"/>
    <row r="22" spans="3:4" ht="12.75" customHeight="1">
      <c r="C22" s="21"/>
      <c r="D22" s="21"/>
    </row>
    <row r="24" ht="12.75" customHeight="1" hidden="1"/>
    <row r="25" spans="1:4" ht="15" customHeight="1" hidden="1">
      <c r="A25" s="228"/>
      <c r="B25" s="228"/>
      <c r="C25" s="228"/>
      <c r="D25" s="228"/>
    </row>
    <row r="26" spans="1:4" ht="38.25" customHeight="1" hidden="1">
      <c r="A26" s="23"/>
      <c r="B26" s="24"/>
      <c r="C26" s="25"/>
      <c r="D26" s="24"/>
    </row>
    <row r="27" spans="1:4" ht="15" customHeight="1" hidden="1">
      <c r="A27" s="5"/>
      <c r="B27" s="6"/>
      <c r="C27" s="7"/>
      <c r="D27" s="7"/>
    </row>
    <row r="28" spans="1:4" ht="15" customHeight="1" hidden="1">
      <c r="A28" s="9"/>
      <c r="B28" s="10"/>
      <c r="C28" s="7"/>
      <c r="D28" s="26"/>
    </row>
    <row r="29" spans="1:4" ht="15" customHeight="1" hidden="1">
      <c r="A29" s="9"/>
      <c r="B29" s="10"/>
      <c r="C29" s="7"/>
      <c r="D29" s="26"/>
    </row>
    <row r="30" spans="1:4" ht="15" customHeight="1" hidden="1">
      <c r="A30" s="9"/>
      <c r="B30" s="10"/>
      <c r="C30" s="7"/>
      <c r="D30" s="26"/>
    </row>
    <row r="31" spans="1:4" ht="15" customHeight="1" hidden="1">
      <c r="A31" s="9"/>
      <c r="B31" s="10"/>
      <c r="C31" s="7"/>
      <c r="D31" s="26"/>
    </row>
    <row r="32" spans="1:4" ht="15" customHeight="1" hidden="1">
      <c r="A32" s="9"/>
      <c r="B32" s="10"/>
      <c r="C32" s="7"/>
      <c r="D32" s="26"/>
    </row>
    <row r="33" spans="1:4" ht="15" customHeight="1" hidden="1">
      <c r="A33" s="9"/>
      <c r="B33" s="10"/>
      <c r="C33" s="7"/>
      <c r="D33" s="26"/>
    </row>
    <row r="34" spans="1:4" ht="15" customHeight="1" hidden="1">
      <c r="A34" s="9"/>
      <c r="B34" s="13"/>
      <c r="C34" s="7"/>
      <c r="D34" s="26"/>
    </row>
    <row r="35" spans="1:4" ht="15" customHeight="1" hidden="1">
      <c r="A35" s="9"/>
      <c r="B35" s="10"/>
      <c r="C35" s="7"/>
      <c r="D35" s="26"/>
    </row>
    <row r="36" spans="1:4" ht="15" customHeight="1" hidden="1">
      <c r="A36" s="14"/>
      <c r="B36" s="15"/>
      <c r="C36" s="16"/>
      <c r="D36" s="16"/>
    </row>
    <row r="37" spans="1:4" ht="15" customHeight="1" hidden="1">
      <c r="A37" s="17"/>
      <c r="B37" s="15"/>
      <c r="C37" s="15"/>
      <c r="D37" s="15"/>
    </row>
    <row r="38" spans="1:4" ht="15" customHeight="1" hidden="1">
      <c r="A38" s="18"/>
      <c r="B38" s="19"/>
      <c r="C38" s="19"/>
      <c r="D38" s="19"/>
    </row>
    <row r="39" ht="12.75" customHeight="1" hidden="1"/>
    <row r="40" ht="12.75" customHeight="1" hidden="1"/>
    <row r="47" ht="12.75" customHeight="1">
      <c r="C47" s="27"/>
    </row>
  </sheetData>
  <sheetProtection selectLockedCells="1" selectUnlockedCells="1"/>
  <mergeCells count="3">
    <mergeCell ref="A1:D1"/>
    <mergeCell ref="B17:B18"/>
    <mergeCell ref="A25:D2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r:id="rId1"/>
  <headerFooter alignWithMargins="0">
    <oddHeader>&amp;C&amp;"Arial,Normale"&amp;8dotazione organica con prospetti riepilogativi per singolo profilo professionale</oddHeader>
    <oddFooter>&amp;L&amp;"Arial,Normale"000000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1"/>
  <sheetViews>
    <sheetView zoomScalePageLayoutView="0" workbookViewId="0" topLeftCell="B1">
      <selection activeCell="C89" sqref="C89"/>
    </sheetView>
  </sheetViews>
  <sheetFormatPr defaultColWidth="8.796875" defaultRowHeight="15"/>
  <cols>
    <col min="1" max="1" width="8.8984375" style="28" hidden="1" customWidth="1"/>
    <col min="2" max="2" width="8.8984375" style="28" customWidth="1"/>
    <col min="3" max="3" width="46.796875" style="29" customWidth="1"/>
    <col min="4" max="4" width="10.796875" style="29" bestFit="1" customWidth="1"/>
    <col min="5" max="15" width="8.796875" style="29" hidden="1" customWidth="1"/>
    <col min="16" max="16" width="13" style="29" hidden="1" customWidth="1"/>
    <col min="17" max="22" width="8.796875" style="29" hidden="1" customWidth="1"/>
    <col min="23" max="23" width="11.19921875" style="29" hidden="1" customWidth="1"/>
    <col min="24" max="24" width="9.19921875" style="29" hidden="1" customWidth="1"/>
    <col min="25" max="25" width="8.8984375" style="29" hidden="1" customWidth="1"/>
    <col min="26" max="26" width="6.69921875" style="29" hidden="1" customWidth="1"/>
    <col min="27" max="27" width="12.796875" style="175" hidden="1" customWidth="1"/>
    <col min="28" max="28" width="8.8984375" style="29" hidden="1" customWidth="1"/>
    <col min="29" max="29" width="8.8984375" style="175" customWidth="1"/>
    <col min="30" max="243" width="8.8984375" style="29" customWidth="1"/>
    <col min="244" max="16384" width="8.796875" style="120" customWidth="1"/>
  </cols>
  <sheetData>
    <row r="1" spans="1:243" ht="39">
      <c r="A1" s="124" t="s">
        <v>13</v>
      </c>
      <c r="B1" s="131" t="s">
        <v>14</v>
      </c>
      <c r="C1" s="132" t="s">
        <v>15</v>
      </c>
      <c r="D1" s="132" t="s">
        <v>16</v>
      </c>
      <c r="E1" s="132" t="s">
        <v>244</v>
      </c>
      <c r="F1" s="132" t="s">
        <v>245</v>
      </c>
      <c r="G1" s="132" t="s">
        <v>246</v>
      </c>
      <c r="H1" s="132" t="s">
        <v>281</v>
      </c>
      <c r="I1" s="132" t="s">
        <v>290</v>
      </c>
      <c r="J1" s="132" t="s">
        <v>246</v>
      </c>
      <c r="K1" s="132" t="s">
        <v>291</v>
      </c>
      <c r="L1" s="132" t="s">
        <v>17</v>
      </c>
      <c r="M1" s="132" t="s">
        <v>18</v>
      </c>
      <c r="N1" s="132" t="s">
        <v>283</v>
      </c>
      <c r="O1" s="132" t="s">
        <v>19</v>
      </c>
      <c r="P1" s="132" t="s">
        <v>20</v>
      </c>
      <c r="Q1" s="132" t="s">
        <v>21</v>
      </c>
      <c r="R1" s="132" t="s">
        <v>22</v>
      </c>
      <c r="S1" s="132" t="s">
        <v>23</v>
      </c>
      <c r="T1" s="132" t="s">
        <v>24</v>
      </c>
      <c r="U1" s="132" t="s">
        <v>25</v>
      </c>
      <c r="V1" s="132" t="s">
        <v>26</v>
      </c>
      <c r="W1" s="132" t="s">
        <v>27</v>
      </c>
      <c r="X1" s="132"/>
      <c r="Y1" s="132" t="s">
        <v>283</v>
      </c>
      <c r="Z1" s="132" t="s">
        <v>19</v>
      </c>
      <c r="AA1" s="132" t="s">
        <v>296</v>
      </c>
      <c r="AB1" s="178" t="s">
        <v>293</v>
      </c>
      <c r="AC1" s="132" t="s">
        <v>296</v>
      </c>
      <c r="IG1" s="120"/>
      <c r="IH1" s="120"/>
      <c r="II1" s="120"/>
    </row>
    <row r="2" spans="1:243" ht="15">
      <c r="A2" s="31" t="s">
        <v>29</v>
      </c>
      <c r="B2" s="133" t="s">
        <v>30</v>
      </c>
      <c r="C2" s="212" t="s">
        <v>31</v>
      </c>
      <c r="D2" s="135" t="s">
        <v>32</v>
      </c>
      <c r="E2" s="179"/>
      <c r="F2" s="179"/>
      <c r="G2" s="179"/>
      <c r="H2" s="179">
        <f>+E2+F2+G2</f>
        <v>0</v>
      </c>
      <c r="I2" s="179">
        <v>12</v>
      </c>
      <c r="J2" s="179"/>
      <c r="K2" s="179">
        <f>+I2+J2</f>
        <v>12</v>
      </c>
      <c r="L2" s="180">
        <v>0.51</v>
      </c>
      <c r="M2" s="180">
        <v>0.51</v>
      </c>
      <c r="N2" s="179"/>
      <c r="O2" s="179">
        <v>4</v>
      </c>
      <c r="P2" s="179">
        <v>4</v>
      </c>
      <c r="Q2" s="140"/>
      <c r="R2" s="140"/>
      <c r="S2" s="140"/>
      <c r="T2" s="140">
        <v>2</v>
      </c>
      <c r="U2" s="140"/>
      <c r="V2" s="178"/>
      <c r="W2" s="178">
        <v>0</v>
      </c>
      <c r="X2" s="178"/>
      <c r="Y2" s="178">
        <v>6</v>
      </c>
      <c r="Z2" s="178"/>
      <c r="AA2" s="140">
        <f>+Y2+Z2</f>
        <v>6</v>
      </c>
      <c r="AB2" s="168">
        <f aca="true" t="shared" si="0" ref="AB2:AB33">+AA2-P2</f>
        <v>2</v>
      </c>
      <c r="AC2" s="207">
        <f>+AA2+2</f>
        <v>8</v>
      </c>
      <c r="AD2" s="29" t="s">
        <v>319</v>
      </c>
      <c r="IG2" s="120"/>
      <c r="IH2" s="120"/>
      <c r="II2" s="120"/>
    </row>
    <row r="3" spans="1:243" ht="15" thickBot="1">
      <c r="A3" s="125" t="s">
        <v>33</v>
      </c>
      <c r="B3" s="133" t="s">
        <v>30</v>
      </c>
      <c r="C3" s="136" t="s">
        <v>34</v>
      </c>
      <c r="D3" s="135" t="s">
        <v>32</v>
      </c>
      <c r="E3" s="179">
        <v>9</v>
      </c>
      <c r="F3" s="179"/>
      <c r="G3" s="179">
        <v>1</v>
      </c>
      <c r="H3" s="179">
        <f aca="true" t="shared" si="1" ref="H3:H65">+E3+F3+G3</f>
        <v>10</v>
      </c>
      <c r="I3" s="179">
        <v>10</v>
      </c>
      <c r="J3" s="179">
        <v>1</v>
      </c>
      <c r="K3" s="179">
        <f aca="true" t="shared" si="2" ref="K3:K66">+I3+J3</f>
        <v>11</v>
      </c>
      <c r="L3" s="180">
        <v>0.38</v>
      </c>
      <c r="M3" s="180">
        <v>0.38</v>
      </c>
      <c r="N3" s="179">
        <f>+L3*H3</f>
        <v>3.8</v>
      </c>
      <c r="O3" s="179">
        <v>4</v>
      </c>
      <c r="P3" s="179">
        <v>8</v>
      </c>
      <c r="Q3" s="140">
        <v>3</v>
      </c>
      <c r="R3" s="140">
        <v>3</v>
      </c>
      <c r="S3" s="140"/>
      <c r="T3" s="140"/>
      <c r="U3" s="140"/>
      <c r="V3" s="178"/>
      <c r="W3" s="178">
        <v>6</v>
      </c>
      <c r="X3" s="178"/>
      <c r="Y3" s="178">
        <v>4</v>
      </c>
      <c r="Z3" s="178">
        <v>4</v>
      </c>
      <c r="AA3" s="140">
        <f aca="true" t="shared" si="3" ref="AA3:AA66">+Y3+Z3</f>
        <v>8</v>
      </c>
      <c r="AB3" s="168">
        <f t="shared" si="0"/>
        <v>0</v>
      </c>
      <c r="AC3" s="207">
        <f>+AA3</f>
        <v>8</v>
      </c>
      <c r="AD3" s="29" t="s">
        <v>319</v>
      </c>
      <c r="IG3" s="120"/>
      <c r="IH3" s="120"/>
      <c r="II3" s="120"/>
    </row>
    <row r="4" spans="1:243" ht="15">
      <c r="A4" s="126" t="s">
        <v>35</v>
      </c>
      <c r="B4" s="133" t="s">
        <v>36</v>
      </c>
      <c r="C4" s="136" t="s">
        <v>37</v>
      </c>
      <c r="D4" s="137" t="s">
        <v>38</v>
      </c>
      <c r="E4" s="179">
        <v>2</v>
      </c>
      <c r="F4" s="179">
        <v>2</v>
      </c>
      <c r="G4" s="179"/>
      <c r="H4" s="179">
        <f t="shared" si="1"/>
        <v>4</v>
      </c>
      <c r="I4" s="179"/>
      <c r="J4" s="179"/>
      <c r="K4" s="179">
        <f t="shared" si="2"/>
        <v>0</v>
      </c>
      <c r="L4" s="180">
        <v>0.25</v>
      </c>
      <c r="M4" s="180">
        <v>0.25</v>
      </c>
      <c r="N4" s="179">
        <f aca="true" t="shared" si="4" ref="N4:N57">+L4*H4</f>
        <v>1</v>
      </c>
      <c r="O4" s="179">
        <v>2</v>
      </c>
      <c r="P4" s="179">
        <v>3</v>
      </c>
      <c r="Q4" s="140"/>
      <c r="R4" s="140"/>
      <c r="S4" s="140"/>
      <c r="T4" s="140"/>
      <c r="U4" s="140"/>
      <c r="V4" s="178"/>
      <c r="W4" s="178">
        <v>0</v>
      </c>
      <c r="X4" s="178"/>
      <c r="Y4" s="178">
        <v>3</v>
      </c>
      <c r="Z4" s="178"/>
      <c r="AA4" s="140">
        <f t="shared" si="3"/>
        <v>3</v>
      </c>
      <c r="AB4" s="168">
        <f t="shared" si="0"/>
        <v>0</v>
      </c>
      <c r="AC4" s="207">
        <f>+AA4</f>
        <v>3</v>
      </c>
      <c r="AD4" s="29" t="s">
        <v>320</v>
      </c>
      <c r="IG4" s="120"/>
      <c r="IH4" s="120"/>
      <c r="II4" s="120"/>
    </row>
    <row r="5" spans="1:243" ht="15">
      <c r="A5" s="127" t="s">
        <v>35</v>
      </c>
      <c r="B5" s="208" t="s">
        <v>36</v>
      </c>
      <c r="C5" s="136" t="s">
        <v>39</v>
      </c>
      <c r="D5" s="137" t="s">
        <v>32</v>
      </c>
      <c r="E5" s="179">
        <v>22</v>
      </c>
      <c r="F5" s="179">
        <v>2</v>
      </c>
      <c r="G5" s="179"/>
      <c r="H5" s="179">
        <f t="shared" si="1"/>
        <v>24</v>
      </c>
      <c r="I5" s="179">
        <v>22</v>
      </c>
      <c r="J5" s="179"/>
      <c r="K5" s="179">
        <f t="shared" si="2"/>
        <v>22</v>
      </c>
      <c r="L5" s="180">
        <v>0.25</v>
      </c>
      <c r="M5" s="180">
        <v>0.36</v>
      </c>
      <c r="N5" s="179">
        <f t="shared" si="4"/>
        <v>6</v>
      </c>
      <c r="O5" s="179">
        <v>9</v>
      </c>
      <c r="P5" s="179">
        <v>15</v>
      </c>
      <c r="Q5" s="140">
        <v>6</v>
      </c>
      <c r="R5" s="140">
        <v>5</v>
      </c>
      <c r="S5" s="140"/>
      <c r="T5" s="140"/>
      <c r="U5" s="140"/>
      <c r="V5" s="178"/>
      <c r="W5" s="178">
        <v>11</v>
      </c>
      <c r="X5" s="178"/>
      <c r="Y5" s="178">
        <v>6</v>
      </c>
      <c r="Z5" s="178">
        <v>9</v>
      </c>
      <c r="AA5" s="140">
        <f t="shared" si="3"/>
        <v>15</v>
      </c>
      <c r="AB5" s="168">
        <f t="shared" si="0"/>
        <v>0</v>
      </c>
      <c r="AC5" s="207">
        <f>+AA5</f>
        <v>15</v>
      </c>
      <c r="AD5" s="29" t="s">
        <v>319</v>
      </c>
      <c r="IG5" s="120"/>
      <c r="IH5" s="120"/>
      <c r="II5" s="120"/>
    </row>
    <row r="6" spans="1:243" ht="15" thickBot="1">
      <c r="A6" s="128" t="s">
        <v>35</v>
      </c>
      <c r="B6" s="208" t="s">
        <v>36</v>
      </c>
      <c r="C6" s="136" t="s">
        <v>40</v>
      </c>
      <c r="D6" s="200" t="s">
        <v>32</v>
      </c>
      <c r="E6" s="201">
        <v>17</v>
      </c>
      <c r="F6" s="201">
        <v>1</v>
      </c>
      <c r="G6" s="201"/>
      <c r="H6" s="201">
        <f t="shared" si="1"/>
        <v>18</v>
      </c>
      <c r="I6" s="201">
        <v>22</v>
      </c>
      <c r="J6" s="201"/>
      <c r="K6" s="201">
        <f t="shared" si="2"/>
        <v>22</v>
      </c>
      <c r="L6" s="202">
        <v>0.25</v>
      </c>
      <c r="M6" s="202">
        <v>0.36</v>
      </c>
      <c r="N6" s="201">
        <f t="shared" si="4"/>
        <v>4.5</v>
      </c>
      <c r="O6" s="201">
        <v>4</v>
      </c>
      <c r="P6" s="201">
        <v>9</v>
      </c>
      <c r="Q6" s="183">
        <v>8</v>
      </c>
      <c r="R6" s="183"/>
      <c r="S6" s="183"/>
      <c r="T6" s="183"/>
      <c r="U6" s="183"/>
      <c r="V6" s="203"/>
      <c r="W6" s="203">
        <v>6</v>
      </c>
      <c r="X6" s="203"/>
      <c r="Y6" s="203">
        <v>5</v>
      </c>
      <c r="Z6" s="203">
        <v>4</v>
      </c>
      <c r="AA6" s="183">
        <f t="shared" si="3"/>
        <v>9</v>
      </c>
      <c r="AB6" s="204">
        <f t="shared" si="0"/>
        <v>0</v>
      </c>
      <c r="AC6" s="207">
        <v>10</v>
      </c>
      <c r="AD6" s="29" t="s">
        <v>319</v>
      </c>
      <c r="IG6" s="120"/>
      <c r="IH6" s="120"/>
      <c r="II6" s="120"/>
    </row>
    <row r="7" spans="1:243" ht="15">
      <c r="A7" s="129" t="s">
        <v>41</v>
      </c>
      <c r="B7" s="208" t="s">
        <v>36</v>
      </c>
      <c r="C7" s="136" t="s">
        <v>42</v>
      </c>
      <c r="D7" s="137" t="s">
        <v>32</v>
      </c>
      <c r="E7" s="179">
        <v>7</v>
      </c>
      <c r="F7" s="179">
        <v>1</v>
      </c>
      <c r="G7" s="179"/>
      <c r="H7" s="179">
        <f t="shared" si="1"/>
        <v>8</v>
      </c>
      <c r="I7" s="179">
        <v>8</v>
      </c>
      <c r="J7" s="179"/>
      <c r="K7" s="179">
        <f t="shared" si="2"/>
        <v>8</v>
      </c>
      <c r="L7" s="180">
        <v>0.38</v>
      </c>
      <c r="M7" s="180">
        <v>0.5</v>
      </c>
      <c r="N7" s="179">
        <f t="shared" si="4"/>
        <v>3.04</v>
      </c>
      <c r="O7" s="179">
        <v>5</v>
      </c>
      <c r="P7" s="179">
        <v>8</v>
      </c>
      <c r="Q7" s="140">
        <v>6</v>
      </c>
      <c r="R7" s="140">
        <v>1</v>
      </c>
      <c r="S7" s="140"/>
      <c r="T7" s="140"/>
      <c r="U7" s="140">
        <v>1</v>
      </c>
      <c r="V7" s="178"/>
      <c r="W7" s="178">
        <v>5</v>
      </c>
      <c r="X7" s="178"/>
      <c r="Y7" s="178">
        <v>3</v>
      </c>
      <c r="Z7" s="178">
        <v>5</v>
      </c>
      <c r="AA7" s="140">
        <f t="shared" si="3"/>
        <v>8</v>
      </c>
      <c r="AB7" s="168">
        <f t="shared" si="0"/>
        <v>0</v>
      </c>
      <c r="AC7" s="207">
        <f>+AA7</f>
        <v>8</v>
      </c>
      <c r="AD7" s="29" t="s">
        <v>319</v>
      </c>
      <c r="IG7" s="120"/>
      <c r="IH7" s="120"/>
      <c r="II7" s="120"/>
    </row>
    <row r="8" spans="1:243" ht="15">
      <c r="A8" s="31" t="s">
        <v>43</v>
      </c>
      <c r="B8" s="208" t="s">
        <v>36</v>
      </c>
      <c r="C8" s="136" t="s">
        <v>44</v>
      </c>
      <c r="D8" s="137" t="s">
        <v>32</v>
      </c>
      <c r="E8" s="179">
        <v>11</v>
      </c>
      <c r="F8" s="179">
        <v>1</v>
      </c>
      <c r="G8" s="179"/>
      <c r="H8" s="179">
        <f t="shared" si="1"/>
        <v>12</v>
      </c>
      <c r="I8" s="179">
        <v>10</v>
      </c>
      <c r="J8" s="179"/>
      <c r="K8" s="179">
        <f t="shared" si="2"/>
        <v>10</v>
      </c>
      <c r="L8" s="180">
        <v>0.38</v>
      </c>
      <c r="M8" s="180">
        <v>0.5</v>
      </c>
      <c r="N8" s="179">
        <f t="shared" si="4"/>
        <v>4.5600000000000005</v>
      </c>
      <c r="O8" s="179">
        <v>3</v>
      </c>
      <c r="P8" s="179">
        <v>8</v>
      </c>
      <c r="Q8" s="140">
        <v>6</v>
      </c>
      <c r="R8" s="140">
        <v>2</v>
      </c>
      <c r="S8" s="140"/>
      <c r="T8" s="140"/>
      <c r="U8" s="140"/>
      <c r="V8" s="178"/>
      <c r="W8" s="178">
        <v>8</v>
      </c>
      <c r="X8" s="178"/>
      <c r="Y8" s="178">
        <v>4</v>
      </c>
      <c r="Z8" s="178">
        <v>4</v>
      </c>
      <c r="AA8" s="140">
        <f t="shared" si="3"/>
        <v>8</v>
      </c>
      <c r="AB8" s="168">
        <f t="shared" si="0"/>
        <v>0</v>
      </c>
      <c r="AC8" s="207">
        <f>+AA8</f>
        <v>8</v>
      </c>
      <c r="AD8" s="29" t="s">
        <v>319</v>
      </c>
      <c r="IG8" s="120"/>
      <c r="IH8" s="120"/>
      <c r="II8" s="120"/>
    </row>
    <row r="9" spans="1:243" ht="15" thickBot="1">
      <c r="A9" s="125" t="s">
        <v>45</v>
      </c>
      <c r="B9" s="208" t="s">
        <v>30</v>
      </c>
      <c r="C9" s="136" t="s">
        <v>46</v>
      </c>
      <c r="D9" s="205" t="s">
        <v>32</v>
      </c>
      <c r="E9" s="201">
        <v>11</v>
      </c>
      <c r="F9" s="201">
        <v>2</v>
      </c>
      <c r="G9" s="201"/>
      <c r="H9" s="201">
        <f t="shared" si="1"/>
        <v>13</v>
      </c>
      <c r="I9" s="201">
        <v>18</v>
      </c>
      <c r="J9" s="201">
        <v>1</v>
      </c>
      <c r="K9" s="201">
        <f t="shared" si="2"/>
        <v>19</v>
      </c>
      <c r="L9" s="202">
        <v>0.5</v>
      </c>
      <c r="M9" s="202">
        <v>0.51</v>
      </c>
      <c r="N9" s="201">
        <f t="shared" si="4"/>
        <v>6.5</v>
      </c>
      <c r="O9" s="201">
        <v>3</v>
      </c>
      <c r="P9" s="201">
        <v>10</v>
      </c>
      <c r="Q9" s="183">
        <v>8</v>
      </c>
      <c r="R9" s="183">
        <v>1</v>
      </c>
      <c r="S9" s="183">
        <v>1</v>
      </c>
      <c r="T9" s="183"/>
      <c r="U9" s="183"/>
      <c r="V9" s="203"/>
      <c r="W9" s="203">
        <v>9</v>
      </c>
      <c r="X9" s="203"/>
      <c r="Y9" s="203">
        <v>13</v>
      </c>
      <c r="Z9" s="203"/>
      <c r="AA9" s="183">
        <f t="shared" si="3"/>
        <v>13</v>
      </c>
      <c r="AB9" s="204">
        <f t="shared" si="0"/>
        <v>3</v>
      </c>
      <c r="AC9" s="207">
        <v>10</v>
      </c>
      <c r="AD9" s="29" t="s">
        <v>319</v>
      </c>
      <c r="IG9" s="120"/>
      <c r="IH9" s="120"/>
      <c r="II9" s="120"/>
    </row>
    <row r="10" spans="1:243" ht="15">
      <c r="A10" s="126" t="s">
        <v>47</v>
      </c>
      <c r="B10" s="208" t="s">
        <v>36</v>
      </c>
      <c r="C10" s="136" t="s">
        <v>48</v>
      </c>
      <c r="D10" s="137" t="s">
        <v>32</v>
      </c>
      <c r="E10" s="179">
        <v>13</v>
      </c>
      <c r="F10" s="179">
        <v>2</v>
      </c>
      <c r="G10" s="179">
        <v>2</v>
      </c>
      <c r="H10" s="179">
        <f t="shared" si="1"/>
        <v>17</v>
      </c>
      <c r="I10" s="179">
        <v>12</v>
      </c>
      <c r="J10" s="179">
        <v>2</v>
      </c>
      <c r="K10" s="179">
        <f t="shared" si="2"/>
        <v>14</v>
      </c>
      <c r="L10" s="180">
        <v>0.38</v>
      </c>
      <c r="M10" s="180">
        <v>0.5</v>
      </c>
      <c r="N10" s="179">
        <f t="shared" si="4"/>
        <v>6.46</v>
      </c>
      <c r="O10" s="179"/>
      <c r="P10" s="179">
        <v>6</v>
      </c>
      <c r="Q10" s="140">
        <v>9</v>
      </c>
      <c r="R10" s="140">
        <v>7</v>
      </c>
      <c r="S10" s="140"/>
      <c r="T10" s="140"/>
      <c r="U10" s="140"/>
      <c r="V10" s="178"/>
      <c r="W10" s="196">
        <v>15</v>
      </c>
      <c r="X10" s="178"/>
      <c r="Y10" s="178">
        <v>6</v>
      </c>
      <c r="Z10" s="178"/>
      <c r="AA10" s="140">
        <f t="shared" si="3"/>
        <v>6</v>
      </c>
      <c r="AB10" s="168">
        <f t="shared" si="0"/>
        <v>0</v>
      </c>
      <c r="AC10" s="207">
        <f aca="true" t="shared" si="5" ref="AC10:AC30">+AA10</f>
        <v>6</v>
      </c>
      <c r="AD10" s="29" t="s">
        <v>319</v>
      </c>
      <c r="IG10" s="120"/>
      <c r="IH10" s="120"/>
      <c r="II10" s="120"/>
    </row>
    <row r="11" spans="1:243" ht="15">
      <c r="A11" s="127" t="s">
        <v>49</v>
      </c>
      <c r="B11" s="208" t="s">
        <v>36</v>
      </c>
      <c r="C11" s="136" t="s">
        <v>50</v>
      </c>
      <c r="D11" s="137" t="s">
        <v>32</v>
      </c>
      <c r="E11" s="179">
        <v>16</v>
      </c>
      <c r="F11" s="179"/>
      <c r="G11" s="179"/>
      <c r="H11" s="179">
        <f t="shared" si="1"/>
        <v>16</v>
      </c>
      <c r="I11" s="179">
        <v>16</v>
      </c>
      <c r="J11" s="179"/>
      <c r="K11" s="179">
        <f t="shared" si="2"/>
        <v>16</v>
      </c>
      <c r="L11" s="180">
        <v>0.8</v>
      </c>
      <c r="M11" s="180">
        <v>1</v>
      </c>
      <c r="N11" s="179">
        <f t="shared" si="4"/>
        <v>12.8</v>
      </c>
      <c r="O11" s="179"/>
      <c r="P11" s="179">
        <v>12</v>
      </c>
      <c r="Q11" s="140"/>
      <c r="R11" s="140"/>
      <c r="S11" s="140"/>
      <c r="T11" s="140"/>
      <c r="U11" s="140"/>
      <c r="V11" s="178"/>
      <c r="W11" s="196">
        <v>0</v>
      </c>
      <c r="X11" s="178"/>
      <c r="Y11" s="178">
        <v>13</v>
      </c>
      <c r="Z11" s="178"/>
      <c r="AA11" s="140">
        <f t="shared" si="3"/>
        <v>13</v>
      </c>
      <c r="AB11" s="168">
        <f t="shared" si="0"/>
        <v>1</v>
      </c>
      <c r="AC11" s="207">
        <f t="shared" si="5"/>
        <v>13</v>
      </c>
      <c r="AD11" s="29" t="s">
        <v>319</v>
      </c>
      <c r="IG11" s="120"/>
      <c r="IH11" s="120"/>
      <c r="II11" s="120"/>
    </row>
    <row r="12" spans="1:243" ht="15" thickBot="1">
      <c r="A12" s="128" t="s">
        <v>51</v>
      </c>
      <c r="B12" s="208" t="s">
        <v>30</v>
      </c>
      <c r="C12" s="213" t="s">
        <v>52</v>
      </c>
      <c r="D12" s="137" t="s">
        <v>53</v>
      </c>
      <c r="E12" s="179"/>
      <c r="F12" s="179"/>
      <c r="G12" s="179"/>
      <c r="H12" s="179">
        <f t="shared" si="1"/>
        <v>0</v>
      </c>
      <c r="I12" s="179">
        <v>2</v>
      </c>
      <c r="J12" s="179"/>
      <c r="K12" s="179">
        <f t="shared" si="2"/>
        <v>2</v>
      </c>
      <c r="L12" s="180"/>
      <c r="M12" s="180">
        <v>0.8</v>
      </c>
      <c r="N12" s="179">
        <f t="shared" si="4"/>
        <v>0</v>
      </c>
      <c r="O12" s="179"/>
      <c r="P12" s="179">
        <v>0</v>
      </c>
      <c r="Q12" s="140"/>
      <c r="R12" s="140"/>
      <c r="S12" s="140"/>
      <c r="T12" s="140"/>
      <c r="U12" s="140"/>
      <c r="V12" s="178"/>
      <c r="W12" s="178">
        <v>0</v>
      </c>
      <c r="X12" s="178"/>
      <c r="Y12" s="178">
        <v>2</v>
      </c>
      <c r="Z12" s="178">
        <v>1</v>
      </c>
      <c r="AA12" s="140">
        <f t="shared" si="3"/>
        <v>3</v>
      </c>
      <c r="AB12" s="168">
        <f t="shared" si="0"/>
        <v>3</v>
      </c>
      <c r="AC12" s="207">
        <f>+AA12-3</f>
        <v>0</v>
      </c>
      <c r="AD12" s="29" t="s">
        <v>319</v>
      </c>
      <c r="IG12" s="120"/>
      <c r="IH12" s="120"/>
      <c r="II12" s="120"/>
    </row>
    <row r="13" spans="1:243" ht="15">
      <c r="A13" s="129" t="s">
        <v>54</v>
      </c>
      <c r="B13" s="208" t="s">
        <v>36</v>
      </c>
      <c r="C13" s="136" t="s">
        <v>55</v>
      </c>
      <c r="D13" s="137" t="s">
        <v>32</v>
      </c>
      <c r="E13" s="179">
        <v>12</v>
      </c>
      <c r="F13" s="179">
        <v>2</v>
      </c>
      <c r="G13" s="179"/>
      <c r="H13" s="179">
        <f t="shared" si="1"/>
        <v>14</v>
      </c>
      <c r="I13" s="179">
        <v>14</v>
      </c>
      <c r="J13" s="179"/>
      <c r="K13" s="179">
        <f t="shared" si="2"/>
        <v>14</v>
      </c>
      <c r="L13" s="180">
        <v>0.38</v>
      </c>
      <c r="M13" s="180">
        <v>0.5</v>
      </c>
      <c r="N13" s="179">
        <f t="shared" si="4"/>
        <v>5.32</v>
      </c>
      <c r="O13" s="179">
        <v>7</v>
      </c>
      <c r="P13" s="179">
        <v>12</v>
      </c>
      <c r="Q13" s="140">
        <v>11</v>
      </c>
      <c r="R13" s="140"/>
      <c r="S13" s="140"/>
      <c r="T13" s="140"/>
      <c r="U13" s="140"/>
      <c r="V13" s="178"/>
      <c r="W13" s="178">
        <v>11</v>
      </c>
      <c r="X13" s="178"/>
      <c r="Y13" s="178">
        <v>6</v>
      </c>
      <c r="Z13" s="178">
        <v>6</v>
      </c>
      <c r="AA13" s="140">
        <f t="shared" si="3"/>
        <v>12</v>
      </c>
      <c r="AB13" s="168">
        <f t="shared" si="0"/>
        <v>0</v>
      </c>
      <c r="AC13" s="207">
        <f t="shared" si="5"/>
        <v>12</v>
      </c>
      <c r="AD13" s="29" t="s">
        <v>319</v>
      </c>
      <c r="IG13" s="120"/>
      <c r="IH13" s="120"/>
      <c r="II13" s="120"/>
    </row>
    <row r="14" spans="1:243" ht="15">
      <c r="A14" s="31" t="s">
        <v>56</v>
      </c>
      <c r="B14" s="208" t="s">
        <v>36</v>
      </c>
      <c r="C14" s="136" t="s">
        <v>57</v>
      </c>
      <c r="D14" s="135" t="s">
        <v>38</v>
      </c>
      <c r="E14" s="179"/>
      <c r="F14" s="179">
        <v>7</v>
      </c>
      <c r="G14" s="179"/>
      <c r="H14" s="179">
        <f t="shared" si="1"/>
        <v>7</v>
      </c>
      <c r="I14" s="179">
        <v>10</v>
      </c>
      <c r="J14" s="179"/>
      <c r="K14" s="179">
        <f t="shared" si="2"/>
        <v>10</v>
      </c>
      <c r="L14" s="180">
        <v>0.4</v>
      </c>
      <c r="M14" s="180">
        <v>0.5</v>
      </c>
      <c r="N14" s="179">
        <f t="shared" si="4"/>
        <v>2.8000000000000003</v>
      </c>
      <c r="O14" s="179">
        <v>1</v>
      </c>
      <c r="P14" s="179">
        <v>4</v>
      </c>
      <c r="Q14" s="140">
        <v>4</v>
      </c>
      <c r="R14" s="140"/>
      <c r="S14" s="140"/>
      <c r="T14" s="140"/>
      <c r="U14" s="140"/>
      <c r="V14" s="178"/>
      <c r="W14" s="178">
        <v>3</v>
      </c>
      <c r="X14" s="178"/>
      <c r="Y14" s="178">
        <f>+K14*L14</f>
        <v>4</v>
      </c>
      <c r="Z14" s="178"/>
      <c r="AA14" s="140">
        <f t="shared" si="3"/>
        <v>4</v>
      </c>
      <c r="AB14" s="168">
        <f t="shared" si="0"/>
        <v>0</v>
      </c>
      <c r="AC14" s="207">
        <f t="shared" si="5"/>
        <v>4</v>
      </c>
      <c r="AD14" s="29" t="s">
        <v>320</v>
      </c>
      <c r="IG14" s="120"/>
      <c r="IH14" s="120"/>
      <c r="II14" s="120"/>
    </row>
    <row r="15" spans="1:243" ht="15">
      <c r="A15" s="31" t="s">
        <v>58</v>
      </c>
      <c r="B15" s="208" t="s">
        <v>36</v>
      </c>
      <c r="C15" s="213" t="s">
        <v>59</v>
      </c>
      <c r="D15" s="137" t="s">
        <v>32</v>
      </c>
      <c r="E15" s="138">
        <v>14</v>
      </c>
      <c r="F15" s="138">
        <v>2</v>
      </c>
      <c r="G15" s="138"/>
      <c r="H15" s="179">
        <f t="shared" si="1"/>
        <v>16</v>
      </c>
      <c r="I15" s="179">
        <v>16</v>
      </c>
      <c r="J15" s="179"/>
      <c r="K15" s="179">
        <f t="shared" si="2"/>
        <v>16</v>
      </c>
      <c r="L15" s="139">
        <v>0.4</v>
      </c>
      <c r="M15" s="139">
        <v>0.5</v>
      </c>
      <c r="N15" s="179">
        <f t="shared" si="4"/>
        <v>6.4</v>
      </c>
      <c r="O15" s="179">
        <v>3</v>
      </c>
      <c r="P15" s="179">
        <v>9</v>
      </c>
      <c r="Q15" s="140">
        <v>6</v>
      </c>
      <c r="R15" s="140">
        <v>2</v>
      </c>
      <c r="S15" s="140"/>
      <c r="T15" s="140"/>
      <c r="U15" s="140"/>
      <c r="V15" s="178"/>
      <c r="W15" s="178">
        <v>13</v>
      </c>
      <c r="X15" s="178"/>
      <c r="Y15" s="178">
        <v>7</v>
      </c>
      <c r="Z15" s="178">
        <v>2</v>
      </c>
      <c r="AA15" s="140">
        <f t="shared" si="3"/>
        <v>9</v>
      </c>
      <c r="AB15" s="168">
        <f t="shared" si="0"/>
        <v>0</v>
      </c>
      <c r="AC15" s="207">
        <f>+AA15+2</f>
        <v>11</v>
      </c>
      <c r="AD15" s="29" t="s">
        <v>319</v>
      </c>
      <c r="IG15" s="120"/>
      <c r="IH15" s="120"/>
      <c r="II15" s="120"/>
    </row>
    <row r="16" spans="1:243" ht="15">
      <c r="A16" s="31" t="s">
        <v>58</v>
      </c>
      <c r="B16" s="208" t="s">
        <v>30</v>
      </c>
      <c r="C16" s="136" t="s">
        <v>60</v>
      </c>
      <c r="D16" s="135" t="s">
        <v>32</v>
      </c>
      <c r="E16" s="138">
        <v>15</v>
      </c>
      <c r="F16" s="138">
        <v>2</v>
      </c>
      <c r="G16" s="138"/>
      <c r="H16" s="179">
        <f t="shared" si="1"/>
        <v>17</v>
      </c>
      <c r="I16" s="179">
        <v>16</v>
      </c>
      <c r="J16" s="179">
        <v>1</v>
      </c>
      <c r="K16" s="179">
        <f t="shared" si="2"/>
        <v>17</v>
      </c>
      <c r="L16" s="139">
        <v>0.4</v>
      </c>
      <c r="M16" s="139">
        <v>0.5</v>
      </c>
      <c r="N16" s="179">
        <f t="shared" si="4"/>
        <v>6.800000000000001</v>
      </c>
      <c r="O16" s="179">
        <v>1</v>
      </c>
      <c r="P16" s="179">
        <v>8</v>
      </c>
      <c r="Q16" s="140">
        <v>7</v>
      </c>
      <c r="R16" s="140"/>
      <c r="S16" s="140"/>
      <c r="T16" s="140"/>
      <c r="U16" s="140">
        <v>1</v>
      </c>
      <c r="V16" s="178"/>
      <c r="W16" s="178">
        <v>10</v>
      </c>
      <c r="X16" s="178"/>
      <c r="Y16" s="178">
        <v>7</v>
      </c>
      <c r="Z16" s="178">
        <v>1</v>
      </c>
      <c r="AA16" s="140">
        <f t="shared" si="3"/>
        <v>8</v>
      </c>
      <c r="AB16" s="168">
        <f t="shared" si="0"/>
        <v>0</v>
      </c>
      <c r="AC16" s="207">
        <f t="shared" si="5"/>
        <v>8</v>
      </c>
      <c r="AD16" s="29" t="s">
        <v>319</v>
      </c>
      <c r="IG16" s="120"/>
      <c r="IH16" s="120"/>
      <c r="II16" s="120"/>
    </row>
    <row r="17" spans="1:243" ht="15" thickBot="1">
      <c r="A17" s="125" t="s">
        <v>61</v>
      </c>
      <c r="B17" s="208" t="s">
        <v>36</v>
      </c>
      <c r="C17" s="136" t="s">
        <v>62</v>
      </c>
      <c r="D17" s="137" t="s">
        <v>32</v>
      </c>
      <c r="E17" s="138">
        <v>36</v>
      </c>
      <c r="F17" s="138">
        <v>2</v>
      </c>
      <c r="G17" s="138">
        <v>1</v>
      </c>
      <c r="H17" s="179">
        <f t="shared" si="1"/>
        <v>39</v>
      </c>
      <c r="I17" s="179">
        <v>32</v>
      </c>
      <c r="J17" s="179">
        <v>1</v>
      </c>
      <c r="K17" s="179">
        <f t="shared" si="2"/>
        <v>33</v>
      </c>
      <c r="L17" s="139">
        <v>0.24</v>
      </c>
      <c r="M17" s="139">
        <v>0.25</v>
      </c>
      <c r="N17" s="179">
        <f t="shared" si="4"/>
        <v>9.36</v>
      </c>
      <c r="O17" s="179">
        <v>4</v>
      </c>
      <c r="P17" s="179">
        <v>13</v>
      </c>
      <c r="Q17" s="140">
        <v>9</v>
      </c>
      <c r="R17" s="140">
        <v>2</v>
      </c>
      <c r="S17" s="140"/>
      <c r="T17" s="140"/>
      <c r="U17" s="140"/>
      <c r="V17" s="178"/>
      <c r="W17" s="178">
        <v>18</v>
      </c>
      <c r="X17" s="178">
        <v>1</v>
      </c>
      <c r="Y17" s="178">
        <v>8</v>
      </c>
      <c r="Z17" s="178">
        <v>5</v>
      </c>
      <c r="AA17" s="140">
        <f t="shared" si="3"/>
        <v>13</v>
      </c>
      <c r="AB17" s="168">
        <f t="shared" si="0"/>
        <v>0</v>
      </c>
      <c r="AC17" s="207">
        <f t="shared" si="5"/>
        <v>13</v>
      </c>
      <c r="AD17" s="29" t="s">
        <v>319</v>
      </c>
      <c r="IG17" s="120"/>
      <c r="IH17" s="120"/>
      <c r="II17" s="120"/>
    </row>
    <row r="18" spans="1:243" ht="15">
      <c r="A18" s="126" t="s">
        <v>61</v>
      </c>
      <c r="B18" s="208" t="s">
        <v>36</v>
      </c>
      <c r="C18" s="136" t="s">
        <v>63</v>
      </c>
      <c r="D18" s="137" t="s">
        <v>32</v>
      </c>
      <c r="E18" s="138">
        <v>43</v>
      </c>
      <c r="F18" s="138">
        <v>4</v>
      </c>
      <c r="G18" s="138">
        <v>1</v>
      </c>
      <c r="H18" s="179">
        <f t="shared" si="1"/>
        <v>48</v>
      </c>
      <c r="I18" s="179">
        <v>54</v>
      </c>
      <c r="J18" s="179">
        <v>1</v>
      </c>
      <c r="K18" s="179">
        <f t="shared" si="2"/>
        <v>55</v>
      </c>
      <c r="L18" s="139">
        <v>0.24</v>
      </c>
      <c r="M18" s="139">
        <v>0.25</v>
      </c>
      <c r="N18" s="179">
        <f t="shared" si="4"/>
        <v>11.52</v>
      </c>
      <c r="O18" s="179">
        <v>5</v>
      </c>
      <c r="P18" s="179">
        <v>17</v>
      </c>
      <c r="Q18" s="140">
        <v>12</v>
      </c>
      <c r="R18" s="140">
        <v>5</v>
      </c>
      <c r="S18" s="140"/>
      <c r="T18" s="140"/>
      <c r="U18" s="140"/>
      <c r="V18" s="178"/>
      <c r="W18" s="178">
        <v>24</v>
      </c>
      <c r="X18" s="178">
        <v>1</v>
      </c>
      <c r="Y18" s="178">
        <v>14</v>
      </c>
      <c r="Z18" s="178">
        <v>3</v>
      </c>
      <c r="AA18" s="140">
        <f t="shared" si="3"/>
        <v>17</v>
      </c>
      <c r="AB18" s="168">
        <f t="shared" si="0"/>
        <v>0</v>
      </c>
      <c r="AC18" s="207">
        <f t="shared" si="5"/>
        <v>17</v>
      </c>
      <c r="AD18" s="29" t="s">
        <v>319</v>
      </c>
      <c r="IG18" s="120"/>
      <c r="IH18" s="120"/>
      <c r="II18" s="120"/>
    </row>
    <row r="19" spans="1:243" ht="15">
      <c r="A19" s="127" t="s">
        <v>64</v>
      </c>
      <c r="B19" s="208" t="s">
        <v>36</v>
      </c>
      <c r="C19" s="136" t="s">
        <v>65</v>
      </c>
      <c r="D19" s="137" t="s">
        <v>53</v>
      </c>
      <c r="E19" s="138"/>
      <c r="F19" s="138">
        <v>4</v>
      </c>
      <c r="G19" s="138"/>
      <c r="H19" s="179">
        <f t="shared" si="1"/>
        <v>4</v>
      </c>
      <c r="I19" s="179">
        <v>20</v>
      </c>
      <c r="J19" s="179"/>
      <c r="K19" s="179">
        <f t="shared" si="2"/>
        <v>20</v>
      </c>
      <c r="L19" s="139">
        <v>0.16</v>
      </c>
      <c r="M19" s="139">
        <v>0.2</v>
      </c>
      <c r="N19" s="179">
        <f t="shared" si="4"/>
        <v>0.64</v>
      </c>
      <c r="O19" s="179">
        <v>2</v>
      </c>
      <c r="P19" s="179">
        <v>3</v>
      </c>
      <c r="Q19" s="140">
        <v>1</v>
      </c>
      <c r="R19" s="140"/>
      <c r="S19" s="140"/>
      <c r="T19" s="140"/>
      <c r="U19" s="140"/>
      <c r="V19" s="178"/>
      <c r="W19" s="178">
        <v>1</v>
      </c>
      <c r="X19" s="178"/>
      <c r="Y19" s="178">
        <v>3</v>
      </c>
      <c r="Z19" s="178"/>
      <c r="AA19" s="140">
        <f t="shared" si="3"/>
        <v>3</v>
      </c>
      <c r="AB19" s="168">
        <f t="shared" si="0"/>
        <v>0</v>
      </c>
      <c r="AC19" s="207">
        <f>+AA19</f>
        <v>3</v>
      </c>
      <c r="AD19" s="29" t="s">
        <v>320</v>
      </c>
      <c r="IG19" s="120"/>
      <c r="IH19" s="120"/>
      <c r="II19" s="120"/>
    </row>
    <row r="20" spans="1:243" ht="15">
      <c r="A20" s="127" t="s">
        <v>66</v>
      </c>
      <c r="B20" s="208" t="s">
        <v>36</v>
      </c>
      <c r="C20" s="136" t="s">
        <v>67</v>
      </c>
      <c r="D20" s="137" t="s">
        <v>53</v>
      </c>
      <c r="E20" s="138">
        <v>18</v>
      </c>
      <c r="F20" s="138"/>
      <c r="G20" s="138"/>
      <c r="H20" s="179">
        <f t="shared" si="1"/>
        <v>18</v>
      </c>
      <c r="I20" s="179">
        <v>16</v>
      </c>
      <c r="J20" s="179"/>
      <c r="K20" s="179">
        <f t="shared" si="2"/>
        <v>16</v>
      </c>
      <c r="L20" s="139">
        <v>0.13</v>
      </c>
      <c r="M20" s="139">
        <v>0.13</v>
      </c>
      <c r="N20" s="179">
        <f t="shared" si="4"/>
        <v>2.34</v>
      </c>
      <c r="O20" s="179">
        <v>3</v>
      </c>
      <c r="P20" s="179">
        <v>5</v>
      </c>
      <c r="Q20" s="140">
        <v>4</v>
      </c>
      <c r="R20" s="140">
        <v>1</v>
      </c>
      <c r="S20" s="140"/>
      <c r="T20" s="140"/>
      <c r="U20" s="140"/>
      <c r="V20" s="178"/>
      <c r="W20" s="178">
        <v>3</v>
      </c>
      <c r="X20" s="178"/>
      <c r="Y20" s="178">
        <v>3</v>
      </c>
      <c r="Z20" s="178">
        <v>2</v>
      </c>
      <c r="AA20" s="140">
        <f t="shared" si="3"/>
        <v>5</v>
      </c>
      <c r="AB20" s="168">
        <f t="shared" si="0"/>
        <v>0</v>
      </c>
      <c r="AC20" s="207">
        <f t="shared" si="5"/>
        <v>5</v>
      </c>
      <c r="AD20" s="29" t="s">
        <v>319</v>
      </c>
      <c r="IG20" s="120"/>
      <c r="IH20" s="120"/>
      <c r="II20" s="120"/>
    </row>
    <row r="21" spans="1:243" ht="15">
      <c r="A21" s="127" t="s">
        <v>68</v>
      </c>
      <c r="B21" s="208" t="s">
        <v>36</v>
      </c>
      <c r="C21" s="136" t="s">
        <v>69</v>
      </c>
      <c r="D21" s="137" t="s">
        <v>53</v>
      </c>
      <c r="E21" s="138"/>
      <c r="F21" s="181">
        <v>2</v>
      </c>
      <c r="G21" s="138"/>
      <c r="H21" s="179">
        <f t="shared" si="1"/>
        <v>2</v>
      </c>
      <c r="I21" s="179">
        <v>2</v>
      </c>
      <c r="J21" s="179"/>
      <c r="K21" s="179">
        <f t="shared" si="2"/>
        <v>2</v>
      </c>
      <c r="L21" s="139">
        <v>0.2</v>
      </c>
      <c r="M21" s="139">
        <v>0.25</v>
      </c>
      <c r="N21" s="179">
        <f t="shared" si="4"/>
        <v>0.4</v>
      </c>
      <c r="O21" s="179">
        <v>3</v>
      </c>
      <c r="P21" s="179">
        <v>3</v>
      </c>
      <c r="Q21" s="140">
        <v>3</v>
      </c>
      <c r="R21" s="140"/>
      <c r="S21" s="140"/>
      <c r="T21" s="140"/>
      <c r="U21" s="140">
        <v>1</v>
      </c>
      <c r="V21" s="178"/>
      <c r="W21" s="178">
        <v>2</v>
      </c>
      <c r="X21" s="178"/>
      <c r="Y21" s="178">
        <v>1</v>
      </c>
      <c r="Z21" s="178">
        <v>2</v>
      </c>
      <c r="AA21" s="140">
        <f t="shared" si="3"/>
        <v>3</v>
      </c>
      <c r="AB21" s="168">
        <f t="shared" si="0"/>
        <v>0</v>
      </c>
      <c r="AC21" s="207">
        <f t="shared" si="5"/>
        <v>3</v>
      </c>
      <c r="AD21" s="29" t="s">
        <v>320</v>
      </c>
      <c r="IG21" s="120"/>
      <c r="IH21" s="120"/>
      <c r="II21" s="120"/>
    </row>
    <row r="22" spans="1:243" ht="15" thickBot="1">
      <c r="A22" s="128" t="s">
        <v>70</v>
      </c>
      <c r="B22" s="208" t="s">
        <v>36</v>
      </c>
      <c r="C22" s="136" t="s">
        <v>71</v>
      </c>
      <c r="D22" s="137" t="s">
        <v>38</v>
      </c>
      <c r="E22" s="138"/>
      <c r="F22" s="138"/>
      <c r="G22" s="138"/>
      <c r="H22" s="179">
        <f t="shared" si="1"/>
        <v>0</v>
      </c>
      <c r="I22" s="179">
        <v>2</v>
      </c>
      <c r="J22" s="179"/>
      <c r="K22" s="179">
        <f t="shared" si="2"/>
        <v>2</v>
      </c>
      <c r="L22" s="139">
        <v>0.2</v>
      </c>
      <c r="M22" s="139">
        <v>0.25</v>
      </c>
      <c r="N22" s="179">
        <f t="shared" si="4"/>
        <v>0</v>
      </c>
      <c r="O22" s="179">
        <v>3</v>
      </c>
      <c r="P22" s="179">
        <v>3</v>
      </c>
      <c r="Q22" s="140"/>
      <c r="R22" s="140"/>
      <c r="S22" s="140"/>
      <c r="T22" s="140"/>
      <c r="U22" s="140"/>
      <c r="V22" s="178"/>
      <c r="W22" s="178">
        <v>0</v>
      </c>
      <c r="X22" s="178"/>
      <c r="Y22" s="178">
        <v>1</v>
      </c>
      <c r="Z22" s="178">
        <v>2</v>
      </c>
      <c r="AA22" s="140">
        <f t="shared" si="3"/>
        <v>3</v>
      </c>
      <c r="AB22" s="168">
        <f t="shared" si="0"/>
        <v>0</v>
      </c>
      <c r="AC22" s="207">
        <f t="shared" si="5"/>
        <v>3</v>
      </c>
      <c r="AD22" s="29" t="s">
        <v>320</v>
      </c>
      <c r="IG22" s="120"/>
      <c r="IH22" s="120"/>
      <c r="II22" s="120"/>
    </row>
    <row r="23" spans="1:243" ht="15">
      <c r="A23" s="126" t="s">
        <v>72</v>
      </c>
      <c r="B23" s="208" t="s">
        <v>36</v>
      </c>
      <c r="C23" s="136" t="s">
        <v>73</v>
      </c>
      <c r="D23" s="137" t="s">
        <v>32</v>
      </c>
      <c r="E23" s="179">
        <v>32</v>
      </c>
      <c r="F23" s="179">
        <v>1</v>
      </c>
      <c r="G23" s="179"/>
      <c r="H23" s="179">
        <f t="shared" si="1"/>
        <v>33</v>
      </c>
      <c r="I23" s="179">
        <v>30</v>
      </c>
      <c r="J23" s="179"/>
      <c r="K23" s="179">
        <f t="shared" si="2"/>
        <v>30</v>
      </c>
      <c r="L23" s="180">
        <v>0.51</v>
      </c>
      <c r="M23" s="180">
        <v>0.75</v>
      </c>
      <c r="N23" s="179">
        <f t="shared" si="4"/>
        <v>16.830000000000002</v>
      </c>
      <c r="O23" s="179"/>
      <c r="P23" s="179">
        <v>14</v>
      </c>
      <c r="Q23" s="140">
        <v>10</v>
      </c>
      <c r="R23" s="140">
        <v>2</v>
      </c>
      <c r="S23" s="140"/>
      <c r="T23" s="140"/>
      <c r="U23" s="140"/>
      <c r="V23" s="178"/>
      <c r="W23" s="178">
        <v>10</v>
      </c>
      <c r="X23" s="178"/>
      <c r="Y23" s="178">
        <v>15</v>
      </c>
      <c r="Z23" s="178"/>
      <c r="AA23" s="140">
        <f t="shared" si="3"/>
        <v>15</v>
      </c>
      <c r="AB23" s="168">
        <f t="shared" si="0"/>
        <v>1</v>
      </c>
      <c r="AC23" s="207">
        <f t="shared" si="5"/>
        <v>15</v>
      </c>
      <c r="AD23" s="29" t="s">
        <v>319</v>
      </c>
      <c r="IG23" s="120"/>
      <c r="IH23" s="120"/>
      <c r="II23" s="120"/>
    </row>
    <row r="24" spans="1:243" ht="15" thickBot="1">
      <c r="A24" s="128" t="s">
        <v>74</v>
      </c>
      <c r="B24" s="208" t="s">
        <v>30</v>
      </c>
      <c r="C24" s="213" t="s">
        <v>73</v>
      </c>
      <c r="D24" s="137" t="s">
        <v>32</v>
      </c>
      <c r="E24" s="179"/>
      <c r="F24" s="179"/>
      <c r="G24" s="179"/>
      <c r="H24" s="179">
        <f t="shared" si="1"/>
        <v>0</v>
      </c>
      <c r="I24" s="179">
        <v>4</v>
      </c>
      <c r="J24" s="179"/>
      <c r="K24" s="179">
        <f t="shared" si="2"/>
        <v>4</v>
      </c>
      <c r="L24" s="180">
        <v>0.51</v>
      </c>
      <c r="M24" s="180">
        <v>0.75</v>
      </c>
      <c r="N24" s="179">
        <f t="shared" si="4"/>
        <v>0</v>
      </c>
      <c r="O24" s="179">
        <v>3</v>
      </c>
      <c r="P24" s="179">
        <v>3</v>
      </c>
      <c r="Q24" s="140"/>
      <c r="R24" s="140"/>
      <c r="S24" s="140"/>
      <c r="T24" s="140"/>
      <c r="U24" s="140"/>
      <c r="V24" s="178"/>
      <c r="W24" s="178">
        <v>0</v>
      </c>
      <c r="X24" s="178"/>
      <c r="Y24" s="178">
        <v>3</v>
      </c>
      <c r="Z24" s="178"/>
      <c r="AA24" s="140">
        <f t="shared" si="3"/>
        <v>3</v>
      </c>
      <c r="AB24" s="168">
        <f t="shared" si="0"/>
        <v>0</v>
      </c>
      <c r="AC24" s="207">
        <f>+AA24-3</f>
        <v>0</v>
      </c>
      <c r="AD24" s="29" t="s">
        <v>319</v>
      </c>
      <c r="IG24" s="120"/>
      <c r="IH24" s="120"/>
      <c r="II24" s="120"/>
    </row>
    <row r="25" spans="1:243" ht="15">
      <c r="A25" s="126" t="s">
        <v>76</v>
      </c>
      <c r="B25" s="208" t="s">
        <v>36</v>
      </c>
      <c r="C25" s="136" t="s">
        <v>77</v>
      </c>
      <c r="D25" s="137" t="s">
        <v>32</v>
      </c>
      <c r="E25" s="179">
        <v>14</v>
      </c>
      <c r="F25" s="179">
        <v>3</v>
      </c>
      <c r="G25" s="179"/>
      <c r="H25" s="179">
        <f t="shared" si="1"/>
        <v>17</v>
      </c>
      <c r="I25" s="179">
        <v>18</v>
      </c>
      <c r="J25" s="179"/>
      <c r="K25" s="179">
        <f t="shared" si="2"/>
        <v>18</v>
      </c>
      <c r="L25" s="180">
        <v>0.38</v>
      </c>
      <c r="M25" s="180">
        <v>0.38</v>
      </c>
      <c r="N25" s="179">
        <f t="shared" si="4"/>
        <v>6.46</v>
      </c>
      <c r="O25" s="179"/>
      <c r="P25" s="179">
        <v>6</v>
      </c>
      <c r="Q25" s="140">
        <v>10</v>
      </c>
      <c r="R25" s="140">
        <v>1</v>
      </c>
      <c r="S25" s="140"/>
      <c r="T25" s="140"/>
      <c r="U25" s="140"/>
      <c r="V25" s="178"/>
      <c r="W25" s="178">
        <v>13</v>
      </c>
      <c r="X25" s="178"/>
      <c r="Y25" s="178">
        <v>7</v>
      </c>
      <c r="Z25" s="178"/>
      <c r="AA25" s="140">
        <v>6</v>
      </c>
      <c r="AB25" s="168">
        <f t="shared" si="0"/>
        <v>0</v>
      </c>
      <c r="AC25" s="207">
        <f t="shared" si="5"/>
        <v>6</v>
      </c>
      <c r="AD25" s="29" t="s">
        <v>319</v>
      </c>
      <c r="IG25" s="120"/>
      <c r="IH25" s="120"/>
      <c r="II25" s="120"/>
    </row>
    <row r="26" spans="1:243" ht="15" thickBot="1">
      <c r="A26" s="128" t="s">
        <v>76</v>
      </c>
      <c r="B26" s="208" t="s">
        <v>36</v>
      </c>
      <c r="C26" s="136" t="s">
        <v>78</v>
      </c>
      <c r="D26" s="137" t="s">
        <v>53</v>
      </c>
      <c r="E26" s="179">
        <v>8</v>
      </c>
      <c r="F26" s="179"/>
      <c r="G26" s="179"/>
      <c r="H26" s="179">
        <f t="shared" si="1"/>
        <v>8</v>
      </c>
      <c r="I26" s="179">
        <v>8</v>
      </c>
      <c r="J26" s="179"/>
      <c r="K26" s="179">
        <f t="shared" si="2"/>
        <v>8</v>
      </c>
      <c r="L26" s="180">
        <v>0.8</v>
      </c>
      <c r="M26" s="180">
        <v>1</v>
      </c>
      <c r="N26" s="179">
        <f t="shared" si="4"/>
        <v>6.4</v>
      </c>
      <c r="O26" s="179"/>
      <c r="P26" s="179">
        <v>6</v>
      </c>
      <c r="Q26" s="140"/>
      <c r="R26" s="140"/>
      <c r="S26" s="140"/>
      <c r="T26" s="140"/>
      <c r="U26" s="140"/>
      <c r="V26" s="178"/>
      <c r="W26" s="178">
        <v>0</v>
      </c>
      <c r="X26" s="178"/>
      <c r="Y26" s="178">
        <v>6</v>
      </c>
      <c r="Z26" s="178"/>
      <c r="AA26" s="140">
        <f t="shared" si="3"/>
        <v>6</v>
      </c>
      <c r="AB26" s="168">
        <f t="shared" si="0"/>
        <v>0</v>
      </c>
      <c r="AC26" s="207">
        <f t="shared" si="5"/>
        <v>6</v>
      </c>
      <c r="AD26" s="29" t="s">
        <v>319</v>
      </c>
      <c r="IG26" s="120"/>
      <c r="IH26" s="120"/>
      <c r="II26" s="120"/>
    </row>
    <row r="27" spans="1:243" ht="15">
      <c r="A27" s="129" t="s">
        <v>79</v>
      </c>
      <c r="B27" s="208" t="s">
        <v>30</v>
      </c>
      <c r="C27" s="136" t="s">
        <v>80</v>
      </c>
      <c r="D27" s="135" t="s">
        <v>32</v>
      </c>
      <c r="E27" s="179">
        <v>8</v>
      </c>
      <c r="F27" s="179">
        <v>4</v>
      </c>
      <c r="G27" s="179">
        <v>1</v>
      </c>
      <c r="H27" s="179">
        <f t="shared" si="1"/>
        <v>13</v>
      </c>
      <c r="I27" s="179">
        <v>12</v>
      </c>
      <c r="J27" s="179">
        <v>1</v>
      </c>
      <c r="K27" s="179">
        <f t="shared" si="2"/>
        <v>13</v>
      </c>
      <c r="L27" s="180">
        <v>0.38</v>
      </c>
      <c r="M27" s="180">
        <v>0.45</v>
      </c>
      <c r="N27" s="179">
        <f t="shared" si="4"/>
        <v>4.94</v>
      </c>
      <c r="O27" s="179">
        <v>3</v>
      </c>
      <c r="P27" s="179">
        <v>8</v>
      </c>
      <c r="Q27" s="140">
        <v>7</v>
      </c>
      <c r="R27" s="140"/>
      <c r="S27" s="140"/>
      <c r="T27" s="140"/>
      <c r="U27" s="140">
        <v>1</v>
      </c>
      <c r="V27" s="178"/>
      <c r="W27" s="178">
        <v>10</v>
      </c>
      <c r="X27" s="178"/>
      <c r="Y27" s="178">
        <v>5</v>
      </c>
      <c r="Z27" s="178">
        <v>3</v>
      </c>
      <c r="AA27" s="140">
        <f t="shared" si="3"/>
        <v>8</v>
      </c>
      <c r="AB27" s="168">
        <f t="shared" si="0"/>
        <v>0</v>
      </c>
      <c r="AC27" s="207">
        <f t="shared" si="5"/>
        <v>8</v>
      </c>
      <c r="AD27" s="29" t="s">
        <v>319</v>
      </c>
      <c r="IG27" s="120"/>
      <c r="IH27" s="120"/>
      <c r="II27" s="120"/>
    </row>
    <row r="28" spans="1:243" ht="15" thickBot="1">
      <c r="A28" s="125" t="s">
        <v>81</v>
      </c>
      <c r="B28" s="208" t="s">
        <v>36</v>
      </c>
      <c r="C28" s="136" t="s">
        <v>82</v>
      </c>
      <c r="D28" s="137" t="s">
        <v>32</v>
      </c>
      <c r="E28" s="179">
        <v>3</v>
      </c>
      <c r="F28" s="179">
        <v>1</v>
      </c>
      <c r="G28" s="179">
        <v>6</v>
      </c>
      <c r="H28" s="179">
        <f t="shared" si="1"/>
        <v>10</v>
      </c>
      <c r="I28" s="179">
        <v>5</v>
      </c>
      <c r="J28" s="179">
        <v>6</v>
      </c>
      <c r="K28" s="179">
        <f t="shared" si="2"/>
        <v>11</v>
      </c>
      <c r="L28" s="180">
        <v>0.44</v>
      </c>
      <c r="M28" s="180">
        <v>0.5</v>
      </c>
      <c r="N28" s="179">
        <f t="shared" si="4"/>
        <v>4.4</v>
      </c>
      <c r="O28" s="179">
        <v>4</v>
      </c>
      <c r="P28" s="179">
        <v>8</v>
      </c>
      <c r="Q28" s="140">
        <v>3</v>
      </c>
      <c r="R28" s="140">
        <v>1</v>
      </c>
      <c r="S28" s="140"/>
      <c r="T28" s="140"/>
      <c r="U28" s="140">
        <v>3</v>
      </c>
      <c r="V28" s="178"/>
      <c r="W28" s="178">
        <v>7</v>
      </c>
      <c r="X28" s="178"/>
      <c r="Y28" s="178">
        <v>5</v>
      </c>
      <c r="Z28" s="178">
        <v>3</v>
      </c>
      <c r="AA28" s="140">
        <f t="shared" si="3"/>
        <v>8</v>
      </c>
      <c r="AB28" s="168">
        <f t="shared" si="0"/>
        <v>0</v>
      </c>
      <c r="AC28" s="207">
        <f t="shared" si="5"/>
        <v>8</v>
      </c>
      <c r="AD28" s="29" t="s">
        <v>319</v>
      </c>
      <c r="IG28" s="120"/>
      <c r="IH28" s="120"/>
      <c r="II28" s="120"/>
    </row>
    <row r="29" spans="1:243" ht="15">
      <c r="A29" s="126" t="s">
        <v>83</v>
      </c>
      <c r="B29" s="208" t="s">
        <v>36</v>
      </c>
      <c r="C29" s="136" t="s">
        <v>84</v>
      </c>
      <c r="D29" s="137" t="s">
        <v>32</v>
      </c>
      <c r="E29" s="179">
        <v>24</v>
      </c>
      <c r="F29" s="179">
        <v>2</v>
      </c>
      <c r="G29" s="179"/>
      <c r="H29" s="179">
        <f t="shared" si="1"/>
        <v>26</v>
      </c>
      <c r="I29" s="179">
        <v>34</v>
      </c>
      <c r="J29" s="179"/>
      <c r="K29" s="179">
        <f t="shared" si="2"/>
        <v>34</v>
      </c>
      <c r="L29" s="180">
        <v>0.25</v>
      </c>
      <c r="M29" s="180">
        <v>0.36</v>
      </c>
      <c r="N29" s="179">
        <f t="shared" si="4"/>
        <v>6.5</v>
      </c>
      <c r="O29" s="179">
        <v>5</v>
      </c>
      <c r="P29" s="179">
        <v>12</v>
      </c>
      <c r="Q29" s="140">
        <v>11</v>
      </c>
      <c r="R29" s="140"/>
      <c r="S29" s="140"/>
      <c r="T29" s="140"/>
      <c r="U29" s="140"/>
      <c r="V29" s="178"/>
      <c r="W29" s="178">
        <v>10</v>
      </c>
      <c r="X29" s="178"/>
      <c r="Y29" s="178">
        <v>9</v>
      </c>
      <c r="Z29" s="178">
        <v>3</v>
      </c>
      <c r="AA29" s="140">
        <f t="shared" si="3"/>
        <v>12</v>
      </c>
      <c r="AB29" s="168">
        <f t="shared" si="0"/>
        <v>0</v>
      </c>
      <c r="AC29" s="207">
        <f t="shared" si="5"/>
        <v>12</v>
      </c>
      <c r="AD29" s="29" t="s">
        <v>319</v>
      </c>
      <c r="IG29" s="120"/>
      <c r="IH29" s="120"/>
      <c r="II29" s="120"/>
    </row>
    <row r="30" spans="1:243" ht="15" thickBot="1">
      <c r="A30" s="128" t="s">
        <v>83</v>
      </c>
      <c r="B30" s="208" t="s">
        <v>30</v>
      </c>
      <c r="C30" s="136" t="s">
        <v>85</v>
      </c>
      <c r="D30" s="137" t="s">
        <v>53</v>
      </c>
      <c r="E30" s="179"/>
      <c r="F30" s="179"/>
      <c r="G30" s="179"/>
      <c r="H30" s="179">
        <f t="shared" si="1"/>
        <v>0</v>
      </c>
      <c r="I30" s="179">
        <v>6</v>
      </c>
      <c r="J30" s="179"/>
      <c r="K30" s="179">
        <f t="shared" si="2"/>
        <v>6</v>
      </c>
      <c r="L30" s="180">
        <v>0.25</v>
      </c>
      <c r="M30" s="180">
        <v>0.36</v>
      </c>
      <c r="N30" s="179">
        <f t="shared" si="4"/>
        <v>0</v>
      </c>
      <c r="O30" s="179">
        <v>3</v>
      </c>
      <c r="P30" s="179">
        <v>3</v>
      </c>
      <c r="Q30" s="140"/>
      <c r="R30" s="140"/>
      <c r="S30" s="140"/>
      <c r="T30" s="140"/>
      <c r="U30" s="140"/>
      <c r="V30" s="178"/>
      <c r="W30" s="178">
        <v>0</v>
      </c>
      <c r="X30" s="178"/>
      <c r="Y30" s="178">
        <v>2</v>
      </c>
      <c r="Z30" s="178">
        <v>1</v>
      </c>
      <c r="AA30" s="140">
        <f t="shared" si="3"/>
        <v>3</v>
      </c>
      <c r="AB30" s="168">
        <f t="shared" si="0"/>
        <v>0</v>
      </c>
      <c r="AC30" s="207">
        <f t="shared" si="5"/>
        <v>3</v>
      </c>
      <c r="AD30" s="29" t="s">
        <v>319</v>
      </c>
      <c r="IG30" s="120"/>
      <c r="IH30" s="120"/>
      <c r="II30" s="120"/>
    </row>
    <row r="31" spans="1:243" ht="15">
      <c r="A31" s="129" t="s">
        <v>86</v>
      </c>
      <c r="B31" s="208" t="s">
        <v>36</v>
      </c>
      <c r="C31" s="136" t="s">
        <v>87</v>
      </c>
      <c r="D31" s="200" t="s">
        <v>32</v>
      </c>
      <c r="E31" s="201">
        <v>11</v>
      </c>
      <c r="F31" s="201">
        <v>1</v>
      </c>
      <c r="G31" s="201"/>
      <c r="H31" s="201">
        <f t="shared" si="1"/>
        <v>12</v>
      </c>
      <c r="I31" s="201">
        <v>10</v>
      </c>
      <c r="J31" s="201"/>
      <c r="K31" s="201">
        <f t="shared" si="2"/>
        <v>10</v>
      </c>
      <c r="L31" s="202">
        <v>0.36</v>
      </c>
      <c r="M31" s="202">
        <v>0.36</v>
      </c>
      <c r="N31" s="201">
        <f t="shared" si="4"/>
        <v>4.32</v>
      </c>
      <c r="O31" s="201">
        <v>2</v>
      </c>
      <c r="P31" s="201">
        <v>6</v>
      </c>
      <c r="Q31" s="183">
        <v>1</v>
      </c>
      <c r="R31" s="183">
        <v>4</v>
      </c>
      <c r="S31" s="183"/>
      <c r="T31" s="183"/>
      <c r="U31" s="183"/>
      <c r="V31" s="203"/>
      <c r="W31" s="203">
        <v>7</v>
      </c>
      <c r="X31" s="203"/>
      <c r="Y31" s="203">
        <v>4</v>
      </c>
      <c r="Z31" s="203">
        <v>2</v>
      </c>
      <c r="AA31" s="183">
        <f t="shared" si="3"/>
        <v>6</v>
      </c>
      <c r="AB31" s="204">
        <f t="shared" si="0"/>
        <v>0</v>
      </c>
      <c r="AC31" s="207">
        <v>8</v>
      </c>
      <c r="AD31" s="29" t="s">
        <v>319</v>
      </c>
      <c r="IG31" s="120"/>
      <c r="IH31" s="120"/>
      <c r="II31" s="120"/>
    </row>
    <row r="32" spans="1:243" ht="15">
      <c r="A32" s="31" t="s">
        <v>86</v>
      </c>
      <c r="B32" s="208" t="s">
        <v>36</v>
      </c>
      <c r="C32" s="136" t="s">
        <v>88</v>
      </c>
      <c r="D32" s="137" t="s">
        <v>32</v>
      </c>
      <c r="E32" s="179">
        <v>28</v>
      </c>
      <c r="F32" s="179">
        <v>6</v>
      </c>
      <c r="G32" s="179"/>
      <c r="H32" s="179">
        <f t="shared" si="1"/>
        <v>34</v>
      </c>
      <c r="I32" s="179">
        <v>30</v>
      </c>
      <c r="J32" s="179"/>
      <c r="K32" s="179">
        <f t="shared" si="2"/>
        <v>30</v>
      </c>
      <c r="L32" s="180" t="s">
        <v>89</v>
      </c>
      <c r="M32" s="180"/>
      <c r="N32" s="179">
        <v>20</v>
      </c>
      <c r="O32" s="179"/>
      <c r="P32" s="179">
        <v>20</v>
      </c>
      <c r="Q32" s="140">
        <v>13</v>
      </c>
      <c r="R32" s="140">
        <v>6</v>
      </c>
      <c r="S32" s="140">
        <v>1</v>
      </c>
      <c r="T32" s="140">
        <v>1</v>
      </c>
      <c r="U32" s="140"/>
      <c r="V32" s="178"/>
      <c r="W32" s="178">
        <v>21</v>
      </c>
      <c r="X32" s="178"/>
      <c r="Y32" s="178">
        <v>20</v>
      </c>
      <c r="Z32" s="178"/>
      <c r="AA32" s="140">
        <f t="shared" si="3"/>
        <v>20</v>
      </c>
      <c r="AB32" s="168">
        <f t="shared" si="0"/>
        <v>0</v>
      </c>
      <c r="AC32" s="207">
        <f>+AA32</f>
        <v>20</v>
      </c>
      <c r="AD32" s="29" t="s">
        <v>319</v>
      </c>
      <c r="IG32" s="120"/>
      <c r="IH32" s="120"/>
      <c r="II32" s="120"/>
    </row>
    <row r="33" spans="1:243" ht="15" thickBot="1">
      <c r="A33" s="125" t="s">
        <v>90</v>
      </c>
      <c r="B33" s="208" t="s">
        <v>36</v>
      </c>
      <c r="C33" s="136" t="s">
        <v>91</v>
      </c>
      <c r="D33" s="137" t="s">
        <v>32</v>
      </c>
      <c r="E33" s="179">
        <v>9</v>
      </c>
      <c r="F33" s="179">
        <v>6</v>
      </c>
      <c r="G33" s="179">
        <v>3</v>
      </c>
      <c r="H33" s="179">
        <f t="shared" si="1"/>
        <v>18</v>
      </c>
      <c r="I33" s="179">
        <v>8</v>
      </c>
      <c r="J33" s="179">
        <v>3</v>
      </c>
      <c r="K33" s="179">
        <f t="shared" si="2"/>
        <v>11</v>
      </c>
      <c r="L33" s="180">
        <v>0.44</v>
      </c>
      <c r="M33" s="180">
        <v>0.5</v>
      </c>
      <c r="N33" s="179">
        <f t="shared" si="4"/>
        <v>7.92</v>
      </c>
      <c r="O33" s="179">
        <v>2</v>
      </c>
      <c r="P33" s="179">
        <v>10</v>
      </c>
      <c r="Q33" s="140">
        <v>8</v>
      </c>
      <c r="R33" s="140">
        <v>1</v>
      </c>
      <c r="S33" s="140"/>
      <c r="T33" s="140"/>
      <c r="U33" s="140">
        <v>1</v>
      </c>
      <c r="V33" s="178"/>
      <c r="W33" s="178">
        <v>10</v>
      </c>
      <c r="X33" s="178"/>
      <c r="Y33" s="178">
        <v>5</v>
      </c>
      <c r="Z33" s="178">
        <v>5</v>
      </c>
      <c r="AA33" s="140">
        <f t="shared" si="3"/>
        <v>10</v>
      </c>
      <c r="AB33" s="168">
        <f t="shared" si="0"/>
        <v>0</v>
      </c>
      <c r="AC33" s="207">
        <f>+AA33</f>
        <v>10</v>
      </c>
      <c r="AD33" s="29" t="s">
        <v>319</v>
      </c>
      <c r="IG33" s="120"/>
      <c r="IH33" s="120"/>
      <c r="II33" s="120"/>
    </row>
    <row r="34" spans="1:243" ht="15">
      <c r="A34" s="126" t="s">
        <v>92</v>
      </c>
      <c r="B34" s="208" t="s">
        <v>30</v>
      </c>
      <c r="C34" s="136" t="s">
        <v>93</v>
      </c>
      <c r="D34" s="135" t="s">
        <v>32</v>
      </c>
      <c r="E34" s="179">
        <v>18</v>
      </c>
      <c r="F34" s="179">
        <v>6</v>
      </c>
      <c r="G34" s="179">
        <v>6</v>
      </c>
      <c r="H34" s="179">
        <f t="shared" si="1"/>
        <v>30</v>
      </c>
      <c r="I34" s="179">
        <v>16</v>
      </c>
      <c r="J34" s="179">
        <v>6</v>
      </c>
      <c r="K34" s="179">
        <f t="shared" si="2"/>
        <v>22</v>
      </c>
      <c r="L34" s="180">
        <v>0.31</v>
      </c>
      <c r="M34" s="180">
        <v>0.38</v>
      </c>
      <c r="N34" s="179">
        <f t="shared" si="4"/>
        <v>9.3</v>
      </c>
      <c r="O34" s="179">
        <v>-2</v>
      </c>
      <c r="P34" s="179">
        <v>7</v>
      </c>
      <c r="Q34" s="140">
        <v>5</v>
      </c>
      <c r="R34" s="140"/>
      <c r="S34" s="140"/>
      <c r="T34" s="140"/>
      <c r="U34" s="140">
        <v>1</v>
      </c>
      <c r="V34" s="178"/>
      <c r="W34" s="178">
        <v>6</v>
      </c>
      <c r="X34" s="178"/>
      <c r="Y34" s="178">
        <v>7</v>
      </c>
      <c r="Z34" s="178"/>
      <c r="AA34" s="140">
        <f t="shared" si="3"/>
        <v>7</v>
      </c>
      <c r="AB34" s="168">
        <f aca="true" t="shared" si="6" ref="AB34:AB65">+AA34-P34</f>
        <v>0</v>
      </c>
      <c r="AC34" s="207">
        <f>+AA34</f>
        <v>7</v>
      </c>
      <c r="AD34" s="29" t="s">
        <v>319</v>
      </c>
      <c r="IG34" s="120"/>
      <c r="IH34" s="120"/>
      <c r="II34" s="120"/>
    </row>
    <row r="35" spans="1:243" ht="15">
      <c r="A35" s="127" t="s">
        <v>92</v>
      </c>
      <c r="B35" s="208" t="s">
        <v>30</v>
      </c>
      <c r="C35" s="136" t="s">
        <v>94</v>
      </c>
      <c r="D35" s="135" t="s">
        <v>32</v>
      </c>
      <c r="E35" s="179">
        <v>18</v>
      </c>
      <c r="F35" s="179">
        <v>2</v>
      </c>
      <c r="G35" s="179"/>
      <c r="H35" s="179">
        <f t="shared" si="1"/>
        <v>20</v>
      </c>
      <c r="I35" s="179">
        <v>20</v>
      </c>
      <c r="J35" s="179"/>
      <c r="K35" s="179">
        <f t="shared" si="2"/>
        <v>20</v>
      </c>
      <c r="L35" s="180">
        <v>0.31</v>
      </c>
      <c r="M35" s="180">
        <v>0.38</v>
      </c>
      <c r="N35" s="179">
        <f t="shared" si="4"/>
        <v>6.2</v>
      </c>
      <c r="O35" s="179">
        <v>1</v>
      </c>
      <c r="P35" s="179">
        <v>7</v>
      </c>
      <c r="Q35" s="140">
        <v>6</v>
      </c>
      <c r="R35" s="140">
        <v>1</v>
      </c>
      <c r="S35" s="140"/>
      <c r="T35" s="140"/>
      <c r="U35" s="140"/>
      <c r="V35" s="178"/>
      <c r="W35" s="178">
        <v>7</v>
      </c>
      <c r="X35" s="178"/>
      <c r="Y35" s="178">
        <v>7</v>
      </c>
      <c r="Z35" s="178"/>
      <c r="AA35" s="140">
        <f t="shared" si="3"/>
        <v>7</v>
      </c>
      <c r="AB35" s="168">
        <f t="shared" si="6"/>
        <v>0</v>
      </c>
      <c r="AC35" s="207">
        <f>+AA35</f>
        <v>7</v>
      </c>
      <c r="AD35" s="29" t="s">
        <v>319</v>
      </c>
      <c r="IG35" s="120"/>
      <c r="IH35" s="120"/>
      <c r="II35" s="120"/>
    </row>
    <row r="36" spans="1:243" ht="15" thickBot="1">
      <c r="A36" s="128" t="s">
        <v>92</v>
      </c>
      <c r="B36" s="208" t="s">
        <v>30</v>
      </c>
      <c r="C36" s="136" t="s">
        <v>95</v>
      </c>
      <c r="D36" s="135" t="s">
        <v>32</v>
      </c>
      <c r="E36" s="179">
        <v>30</v>
      </c>
      <c r="F36" s="179">
        <v>2</v>
      </c>
      <c r="G36" s="179"/>
      <c r="H36" s="179">
        <f t="shared" si="1"/>
        <v>32</v>
      </c>
      <c r="I36" s="179">
        <v>28</v>
      </c>
      <c r="J36" s="179">
        <v>1</v>
      </c>
      <c r="K36" s="179">
        <f t="shared" si="2"/>
        <v>29</v>
      </c>
      <c r="L36" s="180">
        <v>0.31</v>
      </c>
      <c r="M36" s="180">
        <v>0.38</v>
      </c>
      <c r="N36" s="179">
        <f t="shared" si="4"/>
        <v>9.92</v>
      </c>
      <c r="O36" s="179"/>
      <c r="P36" s="179">
        <v>10</v>
      </c>
      <c r="Q36" s="140">
        <v>10</v>
      </c>
      <c r="R36" s="140"/>
      <c r="S36" s="140"/>
      <c r="T36" s="140"/>
      <c r="U36" s="140"/>
      <c r="V36" s="178"/>
      <c r="W36" s="178">
        <v>11</v>
      </c>
      <c r="X36" s="178"/>
      <c r="Y36" s="178">
        <v>9</v>
      </c>
      <c r="Z36" s="178">
        <v>1</v>
      </c>
      <c r="AA36" s="140">
        <f t="shared" si="3"/>
        <v>10</v>
      </c>
      <c r="AB36" s="168">
        <f t="shared" si="6"/>
        <v>0</v>
      </c>
      <c r="AC36" s="207">
        <f>+AA36</f>
        <v>10</v>
      </c>
      <c r="AD36" s="29" t="s">
        <v>319</v>
      </c>
      <c r="IG36" s="120"/>
      <c r="IH36" s="120"/>
      <c r="II36" s="120"/>
    </row>
    <row r="37" spans="1:243" ht="15">
      <c r="A37" s="126" t="s">
        <v>96</v>
      </c>
      <c r="B37" s="208" t="s">
        <v>36</v>
      </c>
      <c r="C37" s="136" t="s">
        <v>97</v>
      </c>
      <c r="D37" s="200" t="s">
        <v>32</v>
      </c>
      <c r="E37" s="201">
        <v>21</v>
      </c>
      <c r="F37" s="201">
        <v>2</v>
      </c>
      <c r="G37" s="201">
        <v>3</v>
      </c>
      <c r="H37" s="201">
        <f t="shared" si="1"/>
        <v>26</v>
      </c>
      <c r="I37" s="201">
        <v>24</v>
      </c>
      <c r="J37" s="201"/>
      <c r="K37" s="201">
        <f t="shared" si="2"/>
        <v>24</v>
      </c>
      <c r="L37" s="202">
        <v>0.44</v>
      </c>
      <c r="M37" s="202">
        <v>0.5</v>
      </c>
      <c r="N37" s="201">
        <f t="shared" si="4"/>
        <v>11.44</v>
      </c>
      <c r="O37" s="201"/>
      <c r="P37" s="201">
        <v>9</v>
      </c>
      <c r="Q37" s="183">
        <v>5</v>
      </c>
      <c r="R37" s="183">
        <v>3</v>
      </c>
      <c r="S37" s="183"/>
      <c r="T37" s="183"/>
      <c r="U37" s="183"/>
      <c r="V37" s="203"/>
      <c r="W37" s="203">
        <v>11</v>
      </c>
      <c r="X37" s="203"/>
      <c r="Y37" s="203">
        <v>11</v>
      </c>
      <c r="Z37" s="203"/>
      <c r="AA37" s="183">
        <f t="shared" si="3"/>
        <v>11</v>
      </c>
      <c r="AB37" s="204">
        <f t="shared" si="6"/>
        <v>2</v>
      </c>
      <c r="AC37" s="207">
        <v>10</v>
      </c>
      <c r="AD37" s="29" t="s">
        <v>319</v>
      </c>
      <c r="IG37" s="120"/>
      <c r="IH37" s="120"/>
      <c r="II37" s="120"/>
    </row>
    <row r="38" spans="1:243" ht="15">
      <c r="A38" s="129" t="s">
        <v>49</v>
      </c>
      <c r="B38" s="208" t="s">
        <v>36</v>
      </c>
      <c r="C38" s="136" t="s">
        <v>98</v>
      </c>
      <c r="D38" s="137" t="s">
        <v>32</v>
      </c>
      <c r="E38" s="179">
        <v>24</v>
      </c>
      <c r="F38" s="179"/>
      <c r="G38" s="179"/>
      <c r="H38" s="179">
        <f t="shared" si="1"/>
        <v>24</v>
      </c>
      <c r="I38" s="179">
        <v>34</v>
      </c>
      <c r="J38" s="179"/>
      <c r="K38" s="179">
        <f t="shared" si="2"/>
        <v>34</v>
      </c>
      <c r="L38" s="180">
        <v>0.8</v>
      </c>
      <c r="M38" s="180">
        <v>1</v>
      </c>
      <c r="N38" s="179">
        <f t="shared" si="4"/>
        <v>19.200000000000003</v>
      </c>
      <c r="O38" s="179">
        <v>51</v>
      </c>
      <c r="P38" s="179">
        <v>70</v>
      </c>
      <c r="Q38" s="140">
        <v>61</v>
      </c>
      <c r="R38" s="140">
        <v>1</v>
      </c>
      <c r="S38" s="140"/>
      <c r="T38" s="140"/>
      <c r="U38" s="140"/>
      <c r="V38" s="178"/>
      <c r="W38" s="178">
        <v>71</v>
      </c>
      <c r="X38" s="196"/>
      <c r="Y38" s="178">
        <v>27</v>
      </c>
      <c r="Z38" s="178">
        <v>43</v>
      </c>
      <c r="AA38" s="140">
        <f t="shared" si="3"/>
        <v>70</v>
      </c>
      <c r="AB38" s="168">
        <f t="shared" si="6"/>
        <v>0</v>
      </c>
      <c r="AC38" s="207">
        <f aca="true" t="shared" si="7" ref="AC38:AC50">+AA38</f>
        <v>70</v>
      </c>
      <c r="AD38" s="29" t="s">
        <v>319</v>
      </c>
      <c r="IG38" s="120"/>
      <c r="IH38" s="120"/>
      <c r="II38" s="120"/>
    </row>
    <row r="39" spans="1:243" ht="15">
      <c r="A39" s="31" t="s">
        <v>99</v>
      </c>
      <c r="B39" s="208" t="s">
        <v>36</v>
      </c>
      <c r="C39" s="136" t="s">
        <v>100</v>
      </c>
      <c r="D39" s="137" t="s">
        <v>32</v>
      </c>
      <c r="E39" s="179">
        <v>16</v>
      </c>
      <c r="F39" s="179">
        <v>1</v>
      </c>
      <c r="G39" s="179"/>
      <c r="H39" s="179">
        <f t="shared" si="1"/>
        <v>17</v>
      </c>
      <c r="I39" s="179">
        <v>24</v>
      </c>
      <c r="J39" s="179"/>
      <c r="K39" s="179">
        <f t="shared" si="2"/>
        <v>24</v>
      </c>
      <c r="L39" s="180">
        <v>0.51</v>
      </c>
      <c r="M39" s="180">
        <v>0.75</v>
      </c>
      <c r="N39" s="179">
        <f t="shared" si="4"/>
        <v>8.67</v>
      </c>
      <c r="O39" s="179">
        <v>5</v>
      </c>
      <c r="P39" s="179">
        <v>14</v>
      </c>
      <c r="Q39" s="140">
        <v>14</v>
      </c>
      <c r="R39" s="140"/>
      <c r="S39" s="140"/>
      <c r="T39" s="140"/>
      <c r="U39" s="140"/>
      <c r="V39" s="178"/>
      <c r="W39" s="178">
        <v>14</v>
      </c>
      <c r="X39" s="197"/>
      <c r="Y39" s="178">
        <v>13</v>
      </c>
      <c r="Z39" s="178">
        <v>1</v>
      </c>
      <c r="AA39" s="140">
        <f t="shared" si="3"/>
        <v>14</v>
      </c>
      <c r="AB39" s="168">
        <f t="shared" si="6"/>
        <v>0</v>
      </c>
      <c r="AC39" s="207">
        <f t="shared" si="7"/>
        <v>14</v>
      </c>
      <c r="AD39" s="29" t="s">
        <v>319</v>
      </c>
      <c r="IG39" s="120"/>
      <c r="IH39" s="120"/>
      <c r="II39" s="120"/>
    </row>
    <row r="40" spans="1:243" ht="15">
      <c r="A40" s="31" t="s">
        <v>101</v>
      </c>
      <c r="B40" s="208" t="s">
        <v>30</v>
      </c>
      <c r="C40" s="213" t="s">
        <v>102</v>
      </c>
      <c r="D40" s="137" t="s">
        <v>32</v>
      </c>
      <c r="E40" s="179">
        <v>6</v>
      </c>
      <c r="F40" s="179"/>
      <c r="G40" s="179"/>
      <c r="H40" s="179">
        <f t="shared" si="1"/>
        <v>6</v>
      </c>
      <c r="I40" s="179">
        <v>10</v>
      </c>
      <c r="J40" s="179"/>
      <c r="K40" s="179">
        <f t="shared" si="2"/>
        <v>10</v>
      </c>
      <c r="L40" s="180">
        <v>0.8</v>
      </c>
      <c r="M40" s="180">
        <v>1</v>
      </c>
      <c r="N40" s="179">
        <f t="shared" si="4"/>
        <v>4.800000000000001</v>
      </c>
      <c r="O40" s="179">
        <v>10</v>
      </c>
      <c r="P40" s="179">
        <v>15</v>
      </c>
      <c r="Q40" s="140">
        <v>12</v>
      </c>
      <c r="R40" s="140"/>
      <c r="S40" s="140"/>
      <c r="T40" s="140"/>
      <c r="U40" s="140"/>
      <c r="V40" s="178"/>
      <c r="W40" s="178">
        <v>10</v>
      </c>
      <c r="X40" s="196"/>
      <c r="Y40" s="178">
        <f>+K40*L40</f>
        <v>8</v>
      </c>
      <c r="Z40" s="178">
        <v>7</v>
      </c>
      <c r="AA40" s="140">
        <f t="shared" si="3"/>
        <v>15</v>
      </c>
      <c r="AB40" s="168">
        <f t="shared" si="6"/>
        <v>0</v>
      </c>
      <c r="AC40" s="207">
        <f>+AA40+1</f>
        <v>16</v>
      </c>
      <c r="AD40" s="29" t="s">
        <v>319</v>
      </c>
      <c r="IG40" s="120"/>
      <c r="IH40" s="120"/>
      <c r="II40" s="120"/>
    </row>
    <row r="41" spans="1:243" ht="15" thickBot="1">
      <c r="A41" s="125" t="s">
        <v>101</v>
      </c>
      <c r="B41" s="208" t="s">
        <v>36</v>
      </c>
      <c r="C41" s="136" t="s">
        <v>103</v>
      </c>
      <c r="D41" s="140" t="s">
        <v>32</v>
      </c>
      <c r="E41" s="138"/>
      <c r="F41" s="138"/>
      <c r="G41" s="138"/>
      <c r="H41" s="179">
        <f t="shared" si="1"/>
        <v>0</v>
      </c>
      <c r="I41" s="179"/>
      <c r="J41" s="179"/>
      <c r="K41" s="179">
        <f t="shared" si="2"/>
        <v>0</v>
      </c>
      <c r="L41" s="139"/>
      <c r="M41" s="139"/>
      <c r="N41" s="179">
        <f t="shared" si="4"/>
        <v>0</v>
      </c>
      <c r="O41" s="179">
        <v>9</v>
      </c>
      <c r="P41" s="179">
        <v>9</v>
      </c>
      <c r="Q41" s="140">
        <v>5</v>
      </c>
      <c r="R41" s="140"/>
      <c r="S41" s="140"/>
      <c r="T41" s="140"/>
      <c r="U41" s="140"/>
      <c r="V41" s="178"/>
      <c r="W41" s="178">
        <v>5</v>
      </c>
      <c r="X41" s="178"/>
      <c r="Y41" s="178">
        <v>9</v>
      </c>
      <c r="Z41" s="178"/>
      <c r="AA41" s="140">
        <f t="shared" si="3"/>
        <v>9</v>
      </c>
      <c r="AB41" s="168">
        <f t="shared" si="6"/>
        <v>0</v>
      </c>
      <c r="AC41" s="207">
        <f t="shared" si="7"/>
        <v>9</v>
      </c>
      <c r="AD41" s="29" t="s">
        <v>321</v>
      </c>
      <c r="IG41" s="120"/>
      <c r="IH41" s="120"/>
      <c r="II41" s="120"/>
    </row>
    <row r="42" spans="1:243" ht="15">
      <c r="A42" s="126" t="s">
        <v>104</v>
      </c>
      <c r="B42" s="208" t="s">
        <v>36</v>
      </c>
      <c r="C42" s="136" t="s">
        <v>105</v>
      </c>
      <c r="D42" s="137" t="s">
        <v>32</v>
      </c>
      <c r="E42" s="179">
        <v>22</v>
      </c>
      <c r="F42" s="179"/>
      <c r="G42" s="179"/>
      <c r="H42" s="179">
        <f t="shared" si="1"/>
        <v>22</v>
      </c>
      <c r="I42" s="179">
        <v>10</v>
      </c>
      <c r="J42" s="179"/>
      <c r="K42" s="179">
        <f t="shared" si="2"/>
        <v>10</v>
      </c>
      <c r="L42" s="180">
        <v>0.8</v>
      </c>
      <c r="M42" s="180">
        <v>1</v>
      </c>
      <c r="N42" s="179">
        <f t="shared" si="4"/>
        <v>17.6</v>
      </c>
      <c r="O42" s="179">
        <v>1</v>
      </c>
      <c r="P42" s="179">
        <v>19</v>
      </c>
      <c r="Q42" s="140">
        <v>27</v>
      </c>
      <c r="R42" s="140">
        <v>1</v>
      </c>
      <c r="S42" s="140">
        <v>1</v>
      </c>
      <c r="T42" s="140"/>
      <c r="U42" s="140"/>
      <c r="V42" s="178"/>
      <c r="W42" s="178">
        <v>0</v>
      </c>
      <c r="X42" s="178"/>
      <c r="Y42" s="178">
        <f>+K42*L42</f>
        <v>8</v>
      </c>
      <c r="Z42" s="178">
        <v>11</v>
      </c>
      <c r="AA42" s="140">
        <v>17</v>
      </c>
      <c r="AB42" s="168">
        <f t="shared" si="6"/>
        <v>-2</v>
      </c>
      <c r="AC42" s="207">
        <v>25</v>
      </c>
      <c r="AD42" s="29" t="s">
        <v>319</v>
      </c>
      <c r="IG42" s="120"/>
      <c r="IH42" s="120"/>
      <c r="II42" s="120"/>
    </row>
    <row r="43" spans="1:243" ht="15">
      <c r="A43" s="127" t="s">
        <v>33</v>
      </c>
      <c r="B43" s="208" t="s">
        <v>36</v>
      </c>
      <c r="C43" s="136" t="s">
        <v>106</v>
      </c>
      <c r="D43" s="137" t="s">
        <v>38</v>
      </c>
      <c r="E43" s="179">
        <v>10</v>
      </c>
      <c r="F43" s="179">
        <v>6</v>
      </c>
      <c r="G43" s="179"/>
      <c r="H43" s="179">
        <f t="shared" si="1"/>
        <v>16</v>
      </c>
      <c r="I43" s="179">
        <v>30</v>
      </c>
      <c r="J43" s="179"/>
      <c r="K43" s="179">
        <f t="shared" si="2"/>
        <v>30</v>
      </c>
      <c r="L43" s="180">
        <v>0.38</v>
      </c>
      <c r="M43" s="180">
        <v>0.38</v>
      </c>
      <c r="N43" s="179">
        <f t="shared" si="4"/>
        <v>6.08</v>
      </c>
      <c r="O43" s="179"/>
      <c r="P43" s="179">
        <v>6</v>
      </c>
      <c r="Q43" s="140"/>
      <c r="R43" s="140"/>
      <c r="S43" s="140"/>
      <c r="T43" s="140"/>
      <c r="U43" s="140"/>
      <c r="V43" s="178"/>
      <c r="W43" s="178">
        <v>27</v>
      </c>
      <c r="X43" s="178"/>
      <c r="Y43" s="178">
        <v>12</v>
      </c>
      <c r="Z43" s="178"/>
      <c r="AA43" s="140">
        <v>11</v>
      </c>
      <c r="AB43" s="168">
        <f t="shared" si="6"/>
        <v>5</v>
      </c>
      <c r="AC43" s="207">
        <v>3</v>
      </c>
      <c r="AD43" s="29" t="s">
        <v>320</v>
      </c>
      <c r="IG43" s="120"/>
      <c r="IH43" s="120"/>
      <c r="II43" s="120"/>
    </row>
    <row r="44" spans="1:243" ht="15" thickBot="1">
      <c r="A44" s="128" t="s">
        <v>107</v>
      </c>
      <c r="B44" s="208" t="s">
        <v>36</v>
      </c>
      <c r="C44" s="136" t="s">
        <v>108</v>
      </c>
      <c r="D44" s="137" t="s">
        <v>38</v>
      </c>
      <c r="E44" s="179"/>
      <c r="F44" s="179"/>
      <c r="G44" s="179"/>
      <c r="H44" s="179">
        <f t="shared" si="1"/>
        <v>0</v>
      </c>
      <c r="I44" s="179"/>
      <c r="J44" s="179"/>
      <c r="K44" s="179">
        <f t="shared" si="2"/>
        <v>0</v>
      </c>
      <c r="L44" s="180"/>
      <c r="M44" s="180"/>
      <c r="N44" s="179">
        <f t="shared" si="4"/>
        <v>0</v>
      </c>
      <c r="O44" s="179">
        <v>5</v>
      </c>
      <c r="P44" s="179">
        <v>5</v>
      </c>
      <c r="Q44" s="140"/>
      <c r="R44" s="140"/>
      <c r="S44" s="140"/>
      <c r="T44" s="140"/>
      <c r="U44" s="140"/>
      <c r="V44" s="178"/>
      <c r="W44" s="178">
        <v>0</v>
      </c>
      <c r="X44" s="178"/>
      <c r="Y44" s="178">
        <v>5</v>
      </c>
      <c r="Z44" s="178"/>
      <c r="AA44" s="140">
        <f t="shared" si="3"/>
        <v>5</v>
      </c>
      <c r="AB44" s="168">
        <f t="shared" si="6"/>
        <v>0</v>
      </c>
      <c r="AC44" s="207">
        <f t="shared" si="7"/>
        <v>5</v>
      </c>
      <c r="AD44" s="29" t="s">
        <v>319</v>
      </c>
      <c r="IG44" s="120"/>
      <c r="IH44" s="120"/>
      <c r="II44" s="120"/>
    </row>
    <row r="45" spans="1:243" ht="15">
      <c r="A45" s="129" t="s">
        <v>109</v>
      </c>
      <c r="B45" s="208" t="s">
        <v>36</v>
      </c>
      <c r="C45" s="136" t="s">
        <v>110</v>
      </c>
      <c r="D45" s="135" t="s">
        <v>32</v>
      </c>
      <c r="E45" s="179">
        <v>16</v>
      </c>
      <c r="F45" s="179"/>
      <c r="G45" s="179"/>
      <c r="H45" s="179">
        <f t="shared" si="1"/>
        <v>16</v>
      </c>
      <c r="I45" s="179">
        <v>24</v>
      </c>
      <c r="J45" s="179"/>
      <c r="K45" s="179">
        <f t="shared" si="2"/>
        <v>24</v>
      </c>
      <c r="L45" s="180">
        <v>0.28</v>
      </c>
      <c r="M45" s="180">
        <v>0.28</v>
      </c>
      <c r="N45" s="179">
        <f t="shared" si="4"/>
        <v>4.48</v>
      </c>
      <c r="O45" s="179">
        <v>31</v>
      </c>
      <c r="P45" s="179">
        <v>35</v>
      </c>
      <c r="Q45" s="140">
        <v>27</v>
      </c>
      <c r="R45" s="140">
        <v>7</v>
      </c>
      <c r="S45" s="140">
        <v>1</v>
      </c>
      <c r="T45" s="140"/>
      <c r="U45" s="140"/>
      <c r="V45" s="178"/>
      <c r="W45" s="178">
        <v>48</v>
      </c>
      <c r="X45" s="178"/>
      <c r="Y45" s="178">
        <v>7</v>
      </c>
      <c r="Z45" s="178">
        <v>28</v>
      </c>
      <c r="AA45" s="140">
        <f t="shared" si="3"/>
        <v>35</v>
      </c>
      <c r="AB45" s="168">
        <f t="shared" si="6"/>
        <v>0</v>
      </c>
      <c r="AC45" s="207">
        <f t="shared" si="7"/>
        <v>35</v>
      </c>
      <c r="AD45" s="29" t="s">
        <v>321</v>
      </c>
      <c r="IG45" s="120"/>
      <c r="IH45" s="120"/>
      <c r="II45" s="120"/>
    </row>
    <row r="46" spans="1:243" ht="15">
      <c r="A46" s="31" t="s">
        <v>109</v>
      </c>
      <c r="B46" s="208" t="s">
        <v>30</v>
      </c>
      <c r="C46" s="136" t="s">
        <v>111</v>
      </c>
      <c r="D46" s="137" t="s">
        <v>32</v>
      </c>
      <c r="E46" s="179">
        <v>10</v>
      </c>
      <c r="F46" s="179"/>
      <c r="G46" s="179"/>
      <c r="H46" s="179">
        <f t="shared" si="1"/>
        <v>10</v>
      </c>
      <c r="I46" s="179">
        <v>10</v>
      </c>
      <c r="J46" s="179"/>
      <c r="K46" s="179">
        <f t="shared" si="2"/>
        <v>10</v>
      </c>
      <c r="L46" s="180">
        <v>0.25</v>
      </c>
      <c r="M46" s="180">
        <v>0.28</v>
      </c>
      <c r="N46" s="179">
        <f t="shared" si="4"/>
        <v>2.5</v>
      </c>
      <c r="O46" s="179">
        <v>21</v>
      </c>
      <c r="P46" s="179">
        <v>24</v>
      </c>
      <c r="Q46" s="140">
        <v>12</v>
      </c>
      <c r="R46" s="140">
        <v>10</v>
      </c>
      <c r="S46" s="140"/>
      <c r="T46" s="140"/>
      <c r="U46" s="140"/>
      <c r="V46" s="178"/>
      <c r="W46" s="178">
        <v>26</v>
      </c>
      <c r="X46" s="178"/>
      <c r="Y46" s="178">
        <v>3</v>
      </c>
      <c r="Z46" s="178">
        <v>21</v>
      </c>
      <c r="AA46" s="140">
        <f t="shared" si="3"/>
        <v>24</v>
      </c>
      <c r="AB46" s="168">
        <f t="shared" si="6"/>
        <v>0</v>
      </c>
      <c r="AC46" s="207">
        <f t="shared" si="7"/>
        <v>24</v>
      </c>
      <c r="AD46" s="29" t="s">
        <v>321</v>
      </c>
      <c r="IG46" s="120"/>
      <c r="IH46" s="120"/>
      <c r="II46" s="120"/>
    </row>
    <row r="47" spans="1:243" ht="15">
      <c r="A47" s="31" t="s">
        <v>112</v>
      </c>
      <c r="B47" s="208" t="s">
        <v>36</v>
      </c>
      <c r="C47" s="136" t="s">
        <v>113</v>
      </c>
      <c r="D47" s="137" t="s">
        <v>32</v>
      </c>
      <c r="E47" s="179">
        <v>24</v>
      </c>
      <c r="F47" s="179">
        <v>4</v>
      </c>
      <c r="G47" s="179">
        <v>11</v>
      </c>
      <c r="H47" s="179">
        <f t="shared" si="1"/>
        <v>39</v>
      </c>
      <c r="I47" s="179">
        <v>24</v>
      </c>
      <c r="J47" s="179">
        <v>12</v>
      </c>
      <c r="K47" s="179">
        <f t="shared" si="2"/>
        <v>36</v>
      </c>
      <c r="L47" s="180">
        <v>0.3</v>
      </c>
      <c r="M47" s="180">
        <v>0.38</v>
      </c>
      <c r="N47" s="179">
        <f t="shared" si="4"/>
        <v>11.7</v>
      </c>
      <c r="O47" s="179">
        <v>3</v>
      </c>
      <c r="P47" s="179">
        <v>15</v>
      </c>
      <c r="Q47" s="140">
        <v>14</v>
      </c>
      <c r="R47" s="140"/>
      <c r="S47" s="140">
        <v>1</v>
      </c>
      <c r="T47" s="140">
        <v>1</v>
      </c>
      <c r="U47" s="140"/>
      <c r="V47" s="178"/>
      <c r="W47" s="178">
        <v>15</v>
      </c>
      <c r="X47" s="178"/>
      <c r="Y47" s="178">
        <v>11</v>
      </c>
      <c r="Z47" s="178">
        <v>4</v>
      </c>
      <c r="AA47" s="140">
        <f t="shared" si="3"/>
        <v>15</v>
      </c>
      <c r="AB47" s="168">
        <f t="shared" si="6"/>
        <v>0</v>
      </c>
      <c r="AC47" s="207">
        <f t="shared" si="7"/>
        <v>15</v>
      </c>
      <c r="AD47" s="29" t="s">
        <v>319</v>
      </c>
      <c r="IG47" s="120"/>
      <c r="IH47" s="120"/>
      <c r="II47" s="120"/>
    </row>
    <row r="48" spans="1:243" ht="15">
      <c r="A48" s="31" t="s">
        <v>114</v>
      </c>
      <c r="B48" s="208" t="s">
        <v>36</v>
      </c>
      <c r="C48" s="136" t="s">
        <v>115</v>
      </c>
      <c r="D48" s="137" t="s">
        <v>32</v>
      </c>
      <c r="E48" s="138">
        <v>8</v>
      </c>
      <c r="F48" s="138">
        <v>7</v>
      </c>
      <c r="G48" s="138">
        <v>1</v>
      </c>
      <c r="H48" s="179">
        <f t="shared" si="1"/>
        <v>16</v>
      </c>
      <c r="I48" s="179">
        <v>16</v>
      </c>
      <c r="J48" s="179">
        <v>1</v>
      </c>
      <c r="K48" s="179">
        <f t="shared" si="2"/>
        <v>17</v>
      </c>
      <c r="L48" s="139">
        <v>0.3</v>
      </c>
      <c r="M48" s="139">
        <v>0.38</v>
      </c>
      <c r="N48" s="179">
        <f t="shared" si="4"/>
        <v>4.8</v>
      </c>
      <c r="O48" s="179">
        <v>2</v>
      </c>
      <c r="P48" s="179">
        <v>7</v>
      </c>
      <c r="Q48" s="140">
        <v>6</v>
      </c>
      <c r="R48" s="140">
        <v>1</v>
      </c>
      <c r="S48" s="140"/>
      <c r="T48" s="140">
        <v>1</v>
      </c>
      <c r="U48" s="140"/>
      <c r="V48" s="178"/>
      <c r="W48" s="178">
        <v>8</v>
      </c>
      <c r="X48" s="178"/>
      <c r="Y48" s="178">
        <v>5</v>
      </c>
      <c r="Z48" s="178">
        <v>3</v>
      </c>
      <c r="AA48" s="140">
        <f t="shared" si="3"/>
        <v>8</v>
      </c>
      <c r="AB48" s="168">
        <f t="shared" si="6"/>
        <v>1</v>
      </c>
      <c r="AC48" s="207">
        <f t="shared" si="7"/>
        <v>8</v>
      </c>
      <c r="AD48" s="29" t="s">
        <v>319</v>
      </c>
      <c r="IG48" s="120"/>
      <c r="IH48" s="120"/>
      <c r="II48" s="120"/>
    </row>
    <row r="49" spans="1:243" ht="15">
      <c r="A49" s="31" t="s">
        <v>116</v>
      </c>
      <c r="B49" s="208" t="s">
        <v>36</v>
      </c>
      <c r="C49" s="136" t="s">
        <v>117</v>
      </c>
      <c r="D49" s="137" t="s">
        <v>38</v>
      </c>
      <c r="E49" s="179">
        <v>10</v>
      </c>
      <c r="F49" s="179">
        <v>4</v>
      </c>
      <c r="G49" s="179">
        <v>1</v>
      </c>
      <c r="H49" s="179">
        <f t="shared" si="1"/>
        <v>15</v>
      </c>
      <c r="I49" s="179">
        <v>8</v>
      </c>
      <c r="J49" s="179">
        <v>1</v>
      </c>
      <c r="K49" s="179">
        <f t="shared" si="2"/>
        <v>9</v>
      </c>
      <c r="L49" s="180">
        <v>0.3</v>
      </c>
      <c r="M49" s="180">
        <v>0.38</v>
      </c>
      <c r="N49" s="179">
        <f t="shared" si="4"/>
        <v>4.5</v>
      </c>
      <c r="O49" s="179">
        <v>1</v>
      </c>
      <c r="P49" s="179">
        <v>6</v>
      </c>
      <c r="Q49" s="140">
        <v>6</v>
      </c>
      <c r="R49" s="140"/>
      <c r="S49" s="140"/>
      <c r="T49" s="140"/>
      <c r="U49" s="140"/>
      <c r="V49" s="178"/>
      <c r="W49" s="178">
        <v>4</v>
      </c>
      <c r="X49" s="178"/>
      <c r="Y49" s="178">
        <v>3</v>
      </c>
      <c r="Z49" s="178">
        <v>3</v>
      </c>
      <c r="AA49" s="140">
        <f t="shared" si="3"/>
        <v>6</v>
      </c>
      <c r="AB49" s="168">
        <f t="shared" si="6"/>
        <v>0</v>
      </c>
      <c r="AC49" s="207">
        <f t="shared" si="7"/>
        <v>6</v>
      </c>
      <c r="AD49" s="29" t="s">
        <v>319</v>
      </c>
      <c r="IG49" s="120"/>
      <c r="IH49" s="120"/>
      <c r="II49" s="120"/>
    </row>
    <row r="50" spans="1:243" ht="15">
      <c r="A50" s="31" t="s">
        <v>118</v>
      </c>
      <c r="B50" s="208" t="s">
        <v>36</v>
      </c>
      <c r="C50" s="136" t="s">
        <v>119</v>
      </c>
      <c r="D50" s="137" t="s">
        <v>32</v>
      </c>
      <c r="E50" s="138">
        <v>20</v>
      </c>
      <c r="F50" s="138">
        <v>1</v>
      </c>
      <c r="G50" s="138"/>
      <c r="H50" s="179">
        <f t="shared" si="1"/>
        <v>21</v>
      </c>
      <c r="I50" s="179">
        <v>22</v>
      </c>
      <c r="J50" s="179"/>
      <c r="K50" s="179">
        <f t="shared" si="2"/>
        <v>22</v>
      </c>
      <c r="L50" s="139">
        <v>0.25</v>
      </c>
      <c r="M50" s="139">
        <v>0.29</v>
      </c>
      <c r="N50" s="179">
        <f t="shared" si="4"/>
        <v>5.25</v>
      </c>
      <c r="O50" s="179">
        <v>5</v>
      </c>
      <c r="P50" s="179">
        <v>10</v>
      </c>
      <c r="Q50" s="140">
        <v>8</v>
      </c>
      <c r="R50" s="140">
        <v>2</v>
      </c>
      <c r="S50" s="140"/>
      <c r="T50" s="140"/>
      <c r="U50" s="140"/>
      <c r="V50" s="178"/>
      <c r="W50" s="178">
        <v>14</v>
      </c>
      <c r="X50" s="178"/>
      <c r="Y50" s="178">
        <v>6</v>
      </c>
      <c r="Z50" s="178">
        <v>4</v>
      </c>
      <c r="AA50" s="140">
        <f t="shared" si="3"/>
        <v>10</v>
      </c>
      <c r="AB50" s="168">
        <f t="shared" si="6"/>
        <v>0</v>
      </c>
      <c r="AC50" s="207">
        <f t="shared" si="7"/>
        <v>10</v>
      </c>
      <c r="AD50" s="29" t="s">
        <v>319</v>
      </c>
      <c r="IG50" s="120"/>
      <c r="IH50" s="120"/>
      <c r="II50" s="120"/>
    </row>
    <row r="51" spans="1:243" ht="15" thickBot="1">
      <c r="A51" s="125" t="s">
        <v>118</v>
      </c>
      <c r="B51" s="208" t="s">
        <v>36</v>
      </c>
      <c r="C51" s="136" t="s">
        <v>120</v>
      </c>
      <c r="D51" s="141" t="s">
        <v>38</v>
      </c>
      <c r="E51" s="206">
        <v>8</v>
      </c>
      <c r="F51" s="206"/>
      <c r="G51" s="206"/>
      <c r="H51" s="201">
        <f t="shared" si="1"/>
        <v>8</v>
      </c>
      <c r="I51" s="201">
        <v>8</v>
      </c>
      <c r="J51" s="201"/>
      <c r="K51" s="201">
        <f t="shared" si="2"/>
        <v>8</v>
      </c>
      <c r="L51" s="202">
        <v>0.8</v>
      </c>
      <c r="M51" s="202">
        <v>1</v>
      </c>
      <c r="N51" s="201">
        <f t="shared" si="4"/>
        <v>6.4</v>
      </c>
      <c r="O51" s="201">
        <v>2</v>
      </c>
      <c r="P51" s="201">
        <v>8</v>
      </c>
      <c r="Q51" s="183">
        <v>5</v>
      </c>
      <c r="R51" s="183">
        <v>1</v>
      </c>
      <c r="S51" s="183"/>
      <c r="T51" s="183"/>
      <c r="U51" s="183"/>
      <c r="V51" s="203"/>
      <c r="W51" s="203">
        <v>7</v>
      </c>
      <c r="X51" s="203"/>
      <c r="Y51" s="203">
        <v>7</v>
      </c>
      <c r="Z51" s="203">
        <v>1</v>
      </c>
      <c r="AA51" s="183">
        <f t="shared" si="3"/>
        <v>8</v>
      </c>
      <c r="AB51" s="204">
        <f t="shared" si="6"/>
        <v>0</v>
      </c>
      <c r="AC51" s="207">
        <v>10</v>
      </c>
      <c r="AD51" s="29" t="s">
        <v>319</v>
      </c>
      <c r="IG51" s="120"/>
      <c r="IH51" s="120"/>
      <c r="II51" s="120"/>
    </row>
    <row r="52" spans="1:243" ht="15">
      <c r="A52" s="126" t="s">
        <v>121</v>
      </c>
      <c r="B52" s="208" t="s">
        <v>36</v>
      </c>
      <c r="C52" s="134" t="s">
        <v>122</v>
      </c>
      <c r="D52" s="135" t="s">
        <v>32</v>
      </c>
      <c r="E52" s="179">
        <v>8</v>
      </c>
      <c r="F52" s="179"/>
      <c r="G52" s="179"/>
      <c r="H52" s="179">
        <f t="shared" si="1"/>
        <v>8</v>
      </c>
      <c r="I52" s="179">
        <v>8</v>
      </c>
      <c r="J52" s="179"/>
      <c r="K52" s="179">
        <f t="shared" si="2"/>
        <v>8</v>
      </c>
      <c r="L52" s="180">
        <v>0.8</v>
      </c>
      <c r="M52" s="180">
        <v>1</v>
      </c>
      <c r="N52" s="179">
        <f t="shared" si="4"/>
        <v>6.4</v>
      </c>
      <c r="O52" s="179">
        <v>2</v>
      </c>
      <c r="P52" s="179">
        <v>8</v>
      </c>
      <c r="Q52" s="140">
        <v>11</v>
      </c>
      <c r="R52" s="140"/>
      <c r="S52" s="140"/>
      <c r="T52" s="140"/>
      <c r="U52" s="140"/>
      <c r="V52" s="178"/>
      <c r="W52" s="178">
        <v>0</v>
      </c>
      <c r="X52" s="178"/>
      <c r="Y52" s="178">
        <v>7</v>
      </c>
      <c r="Z52" s="178">
        <v>1</v>
      </c>
      <c r="AA52" s="140">
        <f t="shared" si="3"/>
        <v>8</v>
      </c>
      <c r="AB52" s="168">
        <f t="shared" si="6"/>
        <v>0</v>
      </c>
      <c r="AC52" s="207">
        <f aca="true" t="shared" si="8" ref="AC52:AC72">+AA52</f>
        <v>8</v>
      </c>
      <c r="AD52" s="29" t="s">
        <v>319</v>
      </c>
      <c r="IG52" s="120"/>
      <c r="IH52" s="120"/>
      <c r="II52" s="120"/>
    </row>
    <row r="53" spans="1:243" ht="15" thickBot="1">
      <c r="A53" s="128" t="s">
        <v>123</v>
      </c>
      <c r="B53" s="208" t="s">
        <v>36</v>
      </c>
      <c r="C53" s="134" t="s">
        <v>124</v>
      </c>
      <c r="D53" s="135" t="s">
        <v>53</v>
      </c>
      <c r="E53" s="179">
        <v>11</v>
      </c>
      <c r="F53" s="179"/>
      <c r="G53" s="179"/>
      <c r="H53" s="179">
        <f t="shared" si="1"/>
        <v>11</v>
      </c>
      <c r="I53" s="179">
        <v>10</v>
      </c>
      <c r="J53" s="179"/>
      <c r="K53" s="179">
        <f t="shared" si="2"/>
        <v>10</v>
      </c>
      <c r="L53" s="180">
        <v>0.51</v>
      </c>
      <c r="M53" s="180">
        <v>0.75</v>
      </c>
      <c r="N53" s="179">
        <f t="shared" si="4"/>
        <v>5.61</v>
      </c>
      <c r="O53" s="179"/>
      <c r="P53" s="179">
        <v>6</v>
      </c>
      <c r="Q53" s="140"/>
      <c r="R53" s="140"/>
      <c r="S53" s="140"/>
      <c r="T53" s="140"/>
      <c r="U53" s="140"/>
      <c r="V53" s="178"/>
      <c r="W53" s="178">
        <v>14</v>
      </c>
      <c r="X53" s="178"/>
      <c r="Y53" s="178">
        <v>6</v>
      </c>
      <c r="Z53" s="178"/>
      <c r="AA53" s="140">
        <f t="shared" si="3"/>
        <v>6</v>
      </c>
      <c r="AB53" s="168">
        <f t="shared" si="6"/>
        <v>0</v>
      </c>
      <c r="AC53" s="207">
        <f t="shared" si="8"/>
        <v>6</v>
      </c>
      <c r="AD53" s="29" t="s">
        <v>319</v>
      </c>
      <c r="IG53" s="120"/>
      <c r="IH53" s="120"/>
      <c r="II53" s="120"/>
    </row>
    <row r="54" spans="1:243" ht="15">
      <c r="A54" s="129" t="s">
        <v>125</v>
      </c>
      <c r="B54" s="208" t="s">
        <v>30</v>
      </c>
      <c r="C54" s="136" t="s">
        <v>126</v>
      </c>
      <c r="D54" s="137" t="s">
        <v>32</v>
      </c>
      <c r="E54" s="138">
        <v>8</v>
      </c>
      <c r="F54" s="138">
        <v>1</v>
      </c>
      <c r="G54" s="138"/>
      <c r="H54" s="179">
        <f t="shared" si="1"/>
        <v>9</v>
      </c>
      <c r="I54" s="179">
        <v>8</v>
      </c>
      <c r="J54" s="179">
        <v>1</v>
      </c>
      <c r="K54" s="179">
        <f t="shared" si="2"/>
        <v>9</v>
      </c>
      <c r="L54" s="139">
        <v>0.3</v>
      </c>
      <c r="M54" s="139">
        <v>0.38</v>
      </c>
      <c r="N54" s="179">
        <f t="shared" si="4"/>
        <v>2.6999999999999997</v>
      </c>
      <c r="O54" s="179">
        <v>2</v>
      </c>
      <c r="P54" s="179">
        <v>5</v>
      </c>
      <c r="Q54" s="140">
        <v>5</v>
      </c>
      <c r="R54" s="140"/>
      <c r="S54" s="140"/>
      <c r="T54" s="140"/>
      <c r="U54" s="140"/>
      <c r="V54" s="178"/>
      <c r="W54" s="178">
        <v>5</v>
      </c>
      <c r="X54" s="178"/>
      <c r="Y54" s="178">
        <v>3</v>
      </c>
      <c r="Z54" s="178">
        <v>2</v>
      </c>
      <c r="AA54" s="140">
        <f t="shared" si="3"/>
        <v>5</v>
      </c>
      <c r="AB54" s="168">
        <f t="shared" si="6"/>
        <v>0</v>
      </c>
      <c r="AC54" s="207">
        <f t="shared" si="8"/>
        <v>5</v>
      </c>
      <c r="AD54" s="29" t="s">
        <v>319</v>
      </c>
      <c r="IG54" s="120"/>
      <c r="IH54" s="120"/>
      <c r="II54" s="120"/>
    </row>
    <row r="55" spans="1:243" ht="15">
      <c r="A55" s="31" t="s">
        <v>127</v>
      </c>
      <c r="B55" s="208" t="s">
        <v>36</v>
      </c>
      <c r="C55" s="134" t="s">
        <v>128</v>
      </c>
      <c r="D55" s="141" t="s">
        <v>38</v>
      </c>
      <c r="E55" s="179"/>
      <c r="F55" s="179">
        <v>2</v>
      </c>
      <c r="G55" s="179"/>
      <c r="H55" s="179">
        <f t="shared" si="1"/>
        <v>2</v>
      </c>
      <c r="I55" s="179">
        <v>4</v>
      </c>
      <c r="J55" s="179"/>
      <c r="K55" s="179">
        <f t="shared" si="2"/>
        <v>4</v>
      </c>
      <c r="L55" s="180"/>
      <c r="M55" s="180"/>
      <c r="N55" s="179">
        <f t="shared" si="4"/>
        <v>0</v>
      </c>
      <c r="O55" s="179">
        <v>3</v>
      </c>
      <c r="P55" s="179">
        <v>3</v>
      </c>
      <c r="Q55" s="140">
        <v>3</v>
      </c>
      <c r="R55" s="140"/>
      <c r="S55" s="140"/>
      <c r="T55" s="140"/>
      <c r="U55" s="140"/>
      <c r="V55" s="178"/>
      <c r="W55" s="178">
        <v>3</v>
      </c>
      <c r="X55" s="178"/>
      <c r="Y55" s="178">
        <v>3</v>
      </c>
      <c r="Z55" s="178"/>
      <c r="AA55" s="140">
        <f t="shared" si="3"/>
        <v>3</v>
      </c>
      <c r="AB55" s="168">
        <f t="shared" si="6"/>
        <v>0</v>
      </c>
      <c r="AC55" s="207">
        <f t="shared" si="8"/>
        <v>3</v>
      </c>
      <c r="AD55" s="29" t="s">
        <v>320</v>
      </c>
      <c r="IG55" s="120"/>
      <c r="IH55" s="120"/>
      <c r="II55" s="120"/>
    </row>
    <row r="56" spans="1:243" ht="15">
      <c r="A56" s="31" t="s">
        <v>129</v>
      </c>
      <c r="B56" s="208" t="s">
        <v>36</v>
      </c>
      <c r="C56" s="136" t="s">
        <v>130</v>
      </c>
      <c r="D56" s="137" t="s">
        <v>38</v>
      </c>
      <c r="E56" s="138">
        <v>10</v>
      </c>
      <c r="F56" s="138"/>
      <c r="G56" s="138"/>
      <c r="H56" s="179">
        <f t="shared" si="1"/>
        <v>10</v>
      </c>
      <c r="I56" s="179">
        <v>8</v>
      </c>
      <c r="J56" s="179"/>
      <c r="K56" s="179">
        <f t="shared" si="2"/>
        <v>8</v>
      </c>
      <c r="L56" s="139">
        <v>0.2</v>
      </c>
      <c r="M56" s="139">
        <v>0.2</v>
      </c>
      <c r="N56" s="179">
        <f t="shared" si="4"/>
        <v>2</v>
      </c>
      <c r="O56" s="179">
        <v>1</v>
      </c>
      <c r="P56" s="179">
        <v>3</v>
      </c>
      <c r="Q56" s="140">
        <v>3</v>
      </c>
      <c r="R56" s="140"/>
      <c r="S56" s="140"/>
      <c r="T56" s="140"/>
      <c r="U56" s="140"/>
      <c r="V56" s="178"/>
      <c r="W56" s="178">
        <v>2</v>
      </c>
      <c r="X56" s="178"/>
      <c r="Y56" s="178">
        <v>2</v>
      </c>
      <c r="Z56" s="178">
        <v>1</v>
      </c>
      <c r="AA56" s="140">
        <f t="shared" si="3"/>
        <v>3</v>
      </c>
      <c r="AB56" s="168">
        <f t="shared" si="6"/>
        <v>0</v>
      </c>
      <c r="AC56" s="207">
        <f t="shared" si="8"/>
        <v>3</v>
      </c>
      <c r="AD56" s="29" t="s">
        <v>319</v>
      </c>
      <c r="IG56" s="120"/>
      <c r="IH56" s="120"/>
      <c r="II56" s="120"/>
    </row>
    <row r="57" spans="1:243" ht="15">
      <c r="A57" s="31" t="s">
        <v>131</v>
      </c>
      <c r="B57" s="208" t="s">
        <v>36</v>
      </c>
      <c r="C57" s="136" t="s">
        <v>132</v>
      </c>
      <c r="D57" s="137" t="s">
        <v>38</v>
      </c>
      <c r="E57" s="179">
        <v>14</v>
      </c>
      <c r="F57" s="179"/>
      <c r="G57" s="179"/>
      <c r="H57" s="179">
        <f t="shared" si="1"/>
        <v>14</v>
      </c>
      <c r="I57" s="179">
        <v>14</v>
      </c>
      <c r="J57" s="179"/>
      <c r="K57" s="179">
        <f t="shared" si="2"/>
        <v>14</v>
      </c>
      <c r="L57" s="180"/>
      <c r="M57" s="180"/>
      <c r="N57" s="179">
        <f t="shared" si="4"/>
        <v>0</v>
      </c>
      <c r="O57" s="179">
        <v>4</v>
      </c>
      <c r="P57" s="179">
        <v>4</v>
      </c>
      <c r="Q57" s="140">
        <v>3</v>
      </c>
      <c r="R57" s="140"/>
      <c r="S57" s="140"/>
      <c r="T57" s="140"/>
      <c r="U57" s="140"/>
      <c r="V57" s="178"/>
      <c r="W57" s="178">
        <v>3</v>
      </c>
      <c r="X57" s="178"/>
      <c r="Y57" s="178">
        <v>4</v>
      </c>
      <c r="Z57" s="178"/>
      <c r="AA57" s="140">
        <f t="shared" si="3"/>
        <v>4</v>
      </c>
      <c r="AB57" s="168">
        <f t="shared" si="6"/>
        <v>0</v>
      </c>
      <c r="AC57" s="207">
        <f t="shared" si="8"/>
        <v>4</v>
      </c>
      <c r="AD57" s="29" t="s">
        <v>319</v>
      </c>
      <c r="IG57" s="120"/>
      <c r="IH57" s="120"/>
      <c r="II57" s="120"/>
    </row>
    <row r="58" spans="1:243" ht="15">
      <c r="A58" s="31" t="s">
        <v>133</v>
      </c>
      <c r="B58" s="208" t="s">
        <v>36</v>
      </c>
      <c r="C58" s="136" t="s">
        <v>134</v>
      </c>
      <c r="D58" s="140" t="s">
        <v>38</v>
      </c>
      <c r="E58" s="138"/>
      <c r="F58" s="138"/>
      <c r="G58" s="138"/>
      <c r="H58" s="179">
        <f t="shared" si="1"/>
        <v>0</v>
      </c>
      <c r="I58" s="179"/>
      <c r="J58" s="179">
        <v>1</v>
      </c>
      <c r="K58" s="179">
        <f t="shared" si="2"/>
        <v>1</v>
      </c>
      <c r="L58" s="139"/>
      <c r="M58" s="139"/>
      <c r="N58" s="179">
        <v>3</v>
      </c>
      <c r="O58" s="179"/>
      <c r="P58" s="179">
        <v>3</v>
      </c>
      <c r="Q58" s="140"/>
      <c r="R58" s="140"/>
      <c r="S58" s="140"/>
      <c r="T58" s="140"/>
      <c r="U58" s="140"/>
      <c r="V58" s="178"/>
      <c r="W58" s="178">
        <v>0</v>
      </c>
      <c r="X58" s="178"/>
      <c r="Y58" s="168">
        <f>+P58</f>
        <v>3</v>
      </c>
      <c r="Z58" s="178"/>
      <c r="AA58" s="140">
        <f t="shared" si="3"/>
        <v>3</v>
      </c>
      <c r="AB58" s="168">
        <f t="shared" si="6"/>
        <v>0</v>
      </c>
      <c r="AC58" s="207">
        <f t="shared" si="8"/>
        <v>3</v>
      </c>
      <c r="AD58" s="29" t="s">
        <v>320</v>
      </c>
      <c r="IG58" s="120"/>
      <c r="IH58" s="120"/>
      <c r="II58" s="120"/>
    </row>
    <row r="59" spans="1:243" ht="15">
      <c r="A59" s="31" t="s">
        <v>133</v>
      </c>
      <c r="B59" s="208" t="s">
        <v>36</v>
      </c>
      <c r="C59" s="134" t="s">
        <v>135</v>
      </c>
      <c r="D59" s="141" t="s">
        <v>38</v>
      </c>
      <c r="E59" s="179"/>
      <c r="F59" s="138"/>
      <c r="G59" s="179"/>
      <c r="H59" s="179">
        <f t="shared" si="1"/>
        <v>0</v>
      </c>
      <c r="I59" s="179"/>
      <c r="J59" s="179"/>
      <c r="K59" s="179">
        <f t="shared" si="2"/>
        <v>0</v>
      </c>
      <c r="L59" s="180"/>
      <c r="M59" s="180"/>
      <c r="N59" s="179">
        <v>3</v>
      </c>
      <c r="O59" s="179"/>
      <c r="P59" s="179">
        <v>3</v>
      </c>
      <c r="Q59" s="140">
        <v>1</v>
      </c>
      <c r="R59" s="140">
        <v>1</v>
      </c>
      <c r="S59" s="140"/>
      <c r="T59" s="140"/>
      <c r="U59" s="140"/>
      <c r="V59" s="178"/>
      <c r="W59" s="178">
        <v>2</v>
      </c>
      <c r="X59" s="178"/>
      <c r="Y59" s="168">
        <f aca="true" t="shared" si="9" ref="Y59:Y75">+P59</f>
        <v>3</v>
      </c>
      <c r="Z59" s="178"/>
      <c r="AA59" s="140">
        <f t="shared" si="3"/>
        <v>3</v>
      </c>
      <c r="AB59" s="168">
        <f t="shared" si="6"/>
        <v>0</v>
      </c>
      <c r="AC59" s="207">
        <f t="shared" si="8"/>
        <v>3</v>
      </c>
      <c r="AD59" s="29" t="s">
        <v>320</v>
      </c>
      <c r="IG59" s="120"/>
      <c r="IH59" s="120"/>
      <c r="II59" s="120"/>
    </row>
    <row r="60" spans="1:243" ht="15">
      <c r="A60" s="31" t="s">
        <v>136</v>
      </c>
      <c r="B60" s="133" t="s">
        <v>36</v>
      </c>
      <c r="C60" s="136" t="s">
        <v>137</v>
      </c>
      <c r="D60" s="137" t="s">
        <v>32</v>
      </c>
      <c r="E60" s="179"/>
      <c r="F60" s="179"/>
      <c r="G60" s="179"/>
      <c r="H60" s="179">
        <f t="shared" si="1"/>
        <v>0</v>
      </c>
      <c r="I60" s="179"/>
      <c r="J60" s="179"/>
      <c r="K60" s="179">
        <f t="shared" si="2"/>
        <v>0</v>
      </c>
      <c r="L60" s="180"/>
      <c r="M60" s="180"/>
      <c r="N60" s="179">
        <v>7</v>
      </c>
      <c r="O60" s="179"/>
      <c r="P60" s="179">
        <v>7</v>
      </c>
      <c r="Q60" s="140">
        <v>4</v>
      </c>
      <c r="R60" s="140">
        <v>1</v>
      </c>
      <c r="S60" s="140"/>
      <c r="T60" s="140"/>
      <c r="U60" s="140"/>
      <c r="V60" s="178"/>
      <c r="W60" s="178">
        <v>5</v>
      </c>
      <c r="X60" s="178"/>
      <c r="Y60" s="168">
        <f t="shared" si="9"/>
        <v>7</v>
      </c>
      <c r="Z60" s="178"/>
      <c r="AA60" s="140">
        <f t="shared" si="3"/>
        <v>7</v>
      </c>
      <c r="AB60" s="168">
        <f t="shared" si="6"/>
        <v>0</v>
      </c>
      <c r="AC60" s="207">
        <f t="shared" si="8"/>
        <v>7</v>
      </c>
      <c r="AD60" s="29" t="s">
        <v>320</v>
      </c>
      <c r="IG60" s="120"/>
      <c r="IH60" s="120"/>
      <c r="II60" s="120"/>
    </row>
    <row r="61" spans="1:243" ht="15">
      <c r="A61" s="31" t="s">
        <v>138</v>
      </c>
      <c r="B61" s="133" t="s">
        <v>36</v>
      </c>
      <c r="C61" s="134" t="s">
        <v>139</v>
      </c>
      <c r="D61" s="141" t="s">
        <v>32</v>
      </c>
      <c r="E61" s="138"/>
      <c r="F61" s="179"/>
      <c r="G61" s="138"/>
      <c r="H61" s="179">
        <f t="shared" si="1"/>
        <v>0</v>
      </c>
      <c r="I61" s="179"/>
      <c r="J61" s="179">
        <v>1</v>
      </c>
      <c r="K61" s="179">
        <f t="shared" si="2"/>
        <v>1</v>
      </c>
      <c r="L61" s="139"/>
      <c r="M61" s="139"/>
      <c r="N61" s="179">
        <v>9</v>
      </c>
      <c r="O61" s="179"/>
      <c r="P61" s="179">
        <v>9</v>
      </c>
      <c r="Q61" s="140">
        <v>2</v>
      </c>
      <c r="R61" s="140">
        <v>2</v>
      </c>
      <c r="S61" s="140"/>
      <c r="T61" s="140"/>
      <c r="U61" s="140"/>
      <c r="V61" s="178"/>
      <c r="W61" s="178">
        <v>7</v>
      </c>
      <c r="X61" s="178"/>
      <c r="Y61" s="168">
        <f t="shared" si="9"/>
        <v>9</v>
      </c>
      <c r="Z61" s="178"/>
      <c r="AA61" s="140">
        <f t="shared" si="3"/>
        <v>9</v>
      </c>
      <c r="AB61" s="168">
        <f t="shared" si="6"/>
        <v>0</v>
      </c>
      <c r="AC61" s="207">
        <f t="shared" si="8"/>
        <v>9</v>
      </c>
      <c r="AD61" s="29" t="s">
        <v>319</v>
      </c>
      <c r="IG61" s="120"/>
      <c r="IH61" s="120"/>
      <c r="II61" s="120"/>
    </row>
    <row r="62" spans="1:243" ht="15">
      <c r="A62" s="31" t="s">
        <v>140</v>
      </c>
      <c r="B62" s="133" t="s">
        <v>36</v>
      </c>
      <c r="C62" s="136" t="s">
        <v>141</v>
      </c>
      <c r="D62" s="137" t="s">
        <v>32</v>
      </c>
      <c r="E62" s="179"/>
      <c r="F62" s="138">
        <v>4</v>
      </c>
      <c r="G62" s="179"/>
      <c r="H62" s="179">
        <f t="shared" si="1"/>
        <v>4</v>
      </c>
      <c r="I62" s="179"/>
      <c r="J62" s="179"/>
      <c r="K62" s="179">
        <f t="shared" si="2"/>
        <v>0</v>
      </c>
      <c r="L62" s="180"/>
      <c r="M62" s="180"/>
      <c r="N62" s="138">
        <v>5</v>
      </c>
      <c r="O62" s="179"/>
      <c r="P62" s="179">
        <v>5</v>
      </c>
      <c r="Q62" s="140">
        <v>1</v>
      </c>
      <c r="R62" s="140">
        <v>2</v>
      </c>
      <c r="S62" s="140"/>
      <c r="T62" s="140"/>
      <c r="U62" s="140"/>
      <c r="V62" s="178"/>
      <c r="W62" s="178">
        <v>4</v>
      </c>
      <c r="X62" s="178"/>
      <c r="Y62" s="168">
        <v>6</v>
      </c>
      <c r="Z62" s="178"/>
      <c r="AA62" s="140">
        <f t="shared" si="3"/>
        <v>6</v>
      </c>
      <c r="AB62" s="168">
        <f t="shared" si="6"/>
        <v>1</v>
      </c>
      <c r="AC62" s="207">
        <f t="shared" si="8"/>
        <v>6</v>
      </c>
      <c r="AD62" s="29" t="s">
        <v>320</v>
      </c>
      <c r="IG62" s="120"/>
      <c r="IH62" s="120"/>
      <c r="II62" s="120"/>
    </row>
    <row r="63" spans="1:243" ht="15">
      <c r="A63" s="31" t="s">
        <v>142</v>
      </c>
      <c r="B63" s="133" t="s">
        <v>36</v>
      </c>
      <c r="C63" s="134" t="s">
        <v>143</v>
      </c>
      <c r="D63" s="141" t="s">
        <v>32</v>
      </c>
      <c r="E63" s="179"/>
      <c r="F63" s="179"/>
      <c r="G63" s="179"/>
      <c r="H63" s="179">
        <f t="shared" si="1"/>
        <v>0</v>
      </c>
      <c r="I63" s="179"/>
      <c r="J63" s="179"/>
      <c r="K63" s="179">
        <f t="shared" si="2"/>
        <v>0</v>
      </c>
      <c r="L63" s="180"/>
      <c r="M63" s="180"/>
      <c r="N63" s="138">
        <v>27</v>
      </c>
      <c r="O63" s="179"/>
      <c r="P63" s="179">
        <v>27</v>
      </c>
      <c r="Q63" s="140">
        <v>24</v>
      </c>
      <c r="R63" s="140">
        <v>4</v>
      </c>
      <c r="S63" s="140">
        <v>2</v>
      </c>
      <c r="T63" s="140"/>
      <c r="U63" s="140"/>
      <c r="V63" s="178"/>
      <c r="W63" s="178">
        <v>30</v>
      </c>
      <c r="X63" s="178"/>
      <c r="Y63" s="168">
        <f t="shared" si="9"/>
        <v>27</v>
      </c>
      <c r="Z63" s="178"/>
      <c r="AA63" s="140">
        <f t="shared" si="3"/>
        <v>27</v>
      </c>
      <c r="AB63" s="168">
        <f t="shared" si="6"/>
        <v>0</v>
      </c>
      <c r="AC63" s="207">
        <f t="shared" si="8"/>
        <v>27</v>
      </c>
      <c r="AD63" s="29" t="s">
        <v>320</v>
      </c>
      <c r="IG63" s="120"/>
      <c r="IH63" s="120"/>
      <c r="II63" s="120"/>
    </row>
    <row r="64" spans="1:243" ht="15">
      <c r="A64" s="31" t="s">
        <v>142</v>
      </c>
      <c r="B64" s="133" t="s">
        <v>36</v>
      </c>
      <c r="C64" s="136" t="s">
        <v>144</v>
      </c>
      <c r="D64" s="137" t="s">
        <v>32</v>
      </c>
      <c r="E64" s="179"/>
      <c r="F64" s="179"/>
      <c r="G64" s="179"/>
      <c r="H64" s="179">
        <f t="shared" si="1"/>
        <v>0</v>
      </c>
      <c r="I64" s="179">
        <v>2</v>
      </c>
      <c r="J64" s="179"/>
      <c r="K64" s="179">
        <f t="shared" si="2"/>
        <v>2</v>
      </c>
      <c r="L64" s="180"/>
      <c r="M64" s="180"/>
      <c r="N64" s="138">
        <v>5</v>
      </c>
      <c r="O64" s="179"/>
      <c r="P64" s="179">
        <v>5</v>
      </c>
      <c r="Q64" s="140"/>
      <c r="R64" s="140"/>
      <c r="S64" s="140"/>
      <c r="T64" s="140"/>
      <c r="U64" s="140"/>
      <c r="V64" s="178"/>
      <c r="W64" s="178">
        <v>0</v>
      </c>
      <c r="X64" s="178"/>
      <c r="Y64" s="168">
        <f t="shared" si="9"/>
        <v>5</v>
      </c>
      <c r="Z64" s="178"/>
      <c r="AA64" s="140">
        <f t="shared" si="3"/>
        <v>5</v>
      </c>
      <c r="AB64" s="168">
        <f t="shared" si="6"/>
        <v>0</v>
      </c>
      <c r="AC64" s="207">
        <f t="shared" si="8"/>
        <v>5</v>
      </c>
      <c r="AD64" s="29" t="s">
        <v>320</v>
      </c>
      <c r="IG64" s="120"/>
      <c r="IH64" s="120"/>
      <c r="II64" s="120"/>
    </row>
    <row r="65" spans="1:243" ht="15">
      <c r="A65" s="31" t="s">
        <v>142</v>
      </c>
      <c r="B65" s="133" t="s">
        <v>30</v>
      </c>
      <c r="C65" s="212" t="s">
        <v>145</v>
      </c>
      <c r="D65" s="135" t="s">
        <v>32</v>
      </c>
      <c r="E65" s="138"/>
      <c r="F65" s="179"/>
      <c r="G65" s="138"/>
      <c r="H65" s="179">
        <f t="shared" si="1"/>
        <v>0</v>
      </c>
      <c r="I65" s="179"/>
      <c r="J65" s="179"/>
      <c r="K65" s="179">
        <f t="shared" si="2"/>
        <v>0</v>
      </c>
      <c r="L65" s="139"/>
      <c r="M65" s="139"/>
      <c r="N65" s="138">
        <v>8</v>
      </c>
      <c r="O65" s="179"/>
      <c r="P65" s="179">
        <v>8</v>
      </c>
      <c r="Q65" s="140">
        <v>8</v>
      </c>
      <c r="R65" s="140"/>
      <c r="S65" s="140"/>
      <c r="T65" s="140"/>
      <c r="U65" s="140"/>
      <c r="V65" s="178"/>
      <c r="W65" s="178">
        <v>6</v>
      </c>
      <c r="X65" s="178"/>
      <c r="Y65" s="168">
        <f t="shared" si="9"/>
        <v>8</v>
      </c>
      <c r="Z65" s="178"/>
      <c r="AA65" s="140">
        <f t="shared" si="3"/>
        <v>8</v>
      </c>
      <c r="AB65" s="168">
        <f t="shared" si="6"/>
        <v>0</v>
      </c>
      <c r="AC65" s="207">
        <f>+AA65+1</f>
        <v>9</v>
      </c>
      <c r="AD65" s="29" t="s">
        <v>320</v>
      </c>
      <c r="IG65" s="120"/>
      <c r="IH65" s="120"/>
      <c r="II65" s="120"/>
    </row>
    <row r="66" spans="1:243" ht="15">
      <c r="A66" s="31" t="s">
        <v>146</v>
      </c>
      <c r="B66" s="133" t="s">
        <v>36</v>
      </c>
      <c r="C66" s="136" t="s">
        <v>147</v>
      </c>
      <c r="D66" s="137" t="s">
        <v>32</v>
      </c>
      <c r="E66" s="179"/>
      <c r="F66" s="138"/>
      <c r="G66" s="179"/>
      <c r="H66" s="179">
        <f aca="true" t="shared" si="10" ref="H66:H75">+E66+F66+G66</f>
        <v>0</v>
      </c>
      <c r="I66" s="179"/>
      <c r="J66" s="179"/>
      <c r="K66" s="179">
        <f t="shared" si="2"/>
        <v>0</v>
      </c>
      <c r="L66" s="180"/>
      <c r="M66" s="180"/>
      <c r="N66" s="138">
        <v>7</v>
      </c>
      <c r="O66" s="179"/>
      <c r="P66" s="179">
        <v>7</v>
      </c>
      <c r="Q66" s="140">
        <v>6</v>
      </c>
      <c r="R66" s="140"/>
      <c r="S66" s="140"/>
      <c r="T66" s="140"/>
      <c r="U66" s="140"/>
      <c r="V66" s="178"/>
      <c r="W66" s="178">
        <v>6</v>
      </c>
      <c r="X66" s="178"/>
      <c r="Y66" s="168">
        <f t="shared" si="9"/>
        <v>7</v>
      </c>
      <c r="Z66" s="178"/>
      <c r="AA66" s="140">
        <f t="shared" si="3"/>
        <v>7</v>
      </c>
      <c r="AB66" s="168">
        <f aca="true" t="shared" si="11" ref="AB66:AB79">+AA66-P66</f>
        <v>0</v>
      </c>
      <c r="AC66" s="207">
        <f t="shared" si="8"/>
        <v>7</v>
      </c>
      <c r="AD66" s="29" t="s">
        <v>320</v>
      </c>
      <c r="IG66" s="120"/>
      <c r="IH66" s="120"/>
      <c r="II66" s="120"/>
    </row>
    <row r="67" spans="1:243" ht="15">
      <c r="A67" s="31" t="s">
        <v>148</v>
      </c>
      <c r="B67" s="133" t="s">
        <v>36</v>
      </c>
      <c r="C67" s="136" t="s">
        <v>149</v>
      </c>
      <c r="D67" s="137" t="s">
        <v>32</v>
      </c>
      <c r="E67" s="179"/>
      <c r="F67" s="179"/>
      <c r="G67" s="179"/>
      <c r="H67" s="179">
        <f t="shared" si="10"/>
        <v>0</v>
      </c>
      <c r="I67" s="179"/>
      <c r="J67" s="179"/>
      <c r="K67" s="179">
        <f aca="true" t="shared" si="12" ref="K67:K81">+I67+J67</f>
        <v>0</v>
      </c>
      <c r="L67" s="180"/>
      <c r="M67" s="180"/>
      <c r="N67" s="138">
        <v>10</v>
      </c>
      <c r="O67" s="179"/>
      <c r="P67" s="179">
        <v>10</v>
      </c>
      <c r="Q67" s="140">
        <v>8</v>
      </c>
      <c r="R67" s="140">
        <v>1</v>
      </c>
      <c r="S67" s="140"/>
      <c r="T67" s="140"/>
      <c r="U67" s="140"/>
      <c r="V67" s="178"/>
      <c r="W67" s="178">
        <v>6</v>
      </c>
      <c r="X67" s="178"/>
      <c r="Y67" s="168">
        <f t="shared" si="9"/>
        <v>10</v>
      </c>
      <c r="Z67" s="178"/>
      <c r="AA67" s="140">
        <f aca="true" t="shared" si="13" ref="AA67:AA75">+Y67+Z67</f>
        <v>10</v>
      </c>
      <c r="AB67" s="168">
        <f t="shared" si="11"/>
        <v>0</v>
      </c>
      <c r="AC67" s="207">
        <f t="shared" si="8"/>
        <v>10</v>
      </c>
      <c r="AD67" s="29" t="s">
        <v>320</v>
      </c>
      <c r="IG67" s="120"/>
      <c r="IH67" s="120"/>
      <c r="II67" s="120"/>
    </row>
    <row r="68" spans="1:243" ht="15">
      <c r="A68" s="31" t="s">
        <v>150</v>
      </c>
      <c r="B68" s="133" t="s">
        <v>36</v>
      </c>
      <c r="C68" s="136" t="s">
        <v>151</v>
      </c>
      <c r="D68" s="137" t="s">
        <v>32</v>
      </c>
      <c r="E68" s="179"/>
      <c r="F68" s="179"/>
      <c r="G68" s="179"/>
      <c r="H68" s="179">
        <f t="shared" si="10"/>
        <v>0</v>
      </c>
      <c r="I68" s="179"/>
      <c r="J68" s="179"/>
      <c r="K68" s="179">
        <f t="shared" si="12"/>
        <v>0</v>
      </c>
      <c r="L68" s="180"/>
      <c r="M68" s="180"/>
      <c r="N68" s="138">
        <v>8</v>
      </c>
      <c r="O68" s="179"/>
      <c r="P68" s="179">
        <v>8</v>
      </c>
      <c r="Q68" s="140">
        <v>7</v>
      </c>
      <c r="R68" s="140">
        <v>1</v>
      </c>
      <c r="S68" s="140"/>
      <c r="T68" s="140"/>
      <c r="U68" s="140"/>
      <c r="V68" s="178"/>
      <c r="W68" s="178">
        <v>8</v>
      </c>
      <c r="X68" s="178"/>
      <c r="Y68" s="168">
        <f t="shared" si="9"/>
        <v>8</v>
      </c>
      <c r="Z68" s="178"/>
      <c r="AA68" s="140">
        <f t="shared" si="13"/>
        <v>8</v>
      </c>
      <c r="AB68" s="168">
        <f t="shared" si="11"/>
        <v>0</v>
      </c>
      <c r="AC68" s="207">
        <f t="shared" si="8"/>
        <v>8</v>
      </c>
      <c r="AD68" s="29" t="s">
        <v>320</v>
      </c>
      <c r="IG68" s="120"/>
      <c r="IH68" s="120"/>
      <c r="II68" s="120"/>
    </row>
    <row r="69" spans="1:243" ht="15">
      <c r="A69" s="31" t="s">
        <v>152</v>
      </c>
      <c r="B69" s="133" t="s">
        <v>36</v>
      </c>
      <c r="C69" s="136" t="s">
        <v>153</v>
      </c>
      <c r="D69" s="137" t="s">
        <v>32</v>
      </c>
      <c r="E69" s="138"/>
      <c r="F69" s="179"/>
      <c r="G69" s="138"/>
      <c r="H69" s="179">
        <f t="shared" si="10"/>
        <v>0</v>
      </c>
      <c r="I69" s="179"/>
      <c r="J69" s="179"/>
      <c r="K69" s="179">
        <f t="shared" si="12"/>
        <v>0</v>
      </c>
      <c r="L69" s="139"/>
      <c r="M69" s="139"/>
      <c r="N69" s="138">
        <v>3</v>
      </c>
      <c r="O69" s="179"/>
      <c r="P69" s="179">
        <v>3</v>
      </c>
      <c r="Q69" s="140">
        <v>2</v>
      </c>
      <c r="R69" s="140">
        <v>1</v>
      </c>
      <c r="S69" s="140"/>
      <c r="T69" s="140"/>
      <c r="U69" s="140"/>
      <c r="V69" s="178"/>
      <c r="W69" s="178">
        <v>3</v>
      </c>
      <c r="X69" s="178"/>
      <c r="Y69" s="168">
        <f t="shared" si="9"/>
        <v>3</v>
      </c>
      <c r="Z69" s="178"/>
      <c r="AA69" s="140">
        <f t="shared" si="13"/>
        <v>3</v>
      </c>
      <c r="AB69" s="168">
        <f t="shared" si="11"/>
        <v>0</v>
      </c>
      <c r="AC69" s="207">
        <f t="shared" si="8"/>
        <v>3</v>
      </c>
      <c r="AD69" s="29" t="s">
        <v>320</v>
      </c>
      <c r="IG69" s="120"/>
      <c r="IH69" s="120"/>
      <c r="II69" s="120"/>
    </row>
    <row r="70" spans="1:243" ht="15">
      <c r="A70" s="31" t="s">
        <v>152</v>
      </c>
      <c r="B70" s="133" t="s">
        <v>30</v>
      </c>
      <c r="C70" s="136" t="s">
        <v>154</v>
      </c>
      <c r="D70" s="137" t="s">
        <v>38</v>
      </c>
      <c r="E70" s="138"/>
      <c r="F70" s="138"/>
      <c r="G70" s="138"/>
      <c r="H70" s="179">
        <f t="shared" si="10"/>
        <v>0</v>
      </c>
      <c r="I70" s="179"/>
      <c r="J70" s="179"/>
      <c r="K70" s="179">
        <f t="shared" si="12"/>
        <v>0</v>
      </c>
      <c r="L70" s="139"/>
      <c r="M70" s="139"/>
      <c r="N70" s="138">
        <v>3</v>
      </c>
      <c r="O70" s="179"/>
      <c r="P70" s="179">
        <v>3</v>
      </c>
      <c r="Q70" s="140">
        <v>1</v>
      </c>
      <c r="R70" s="140">
        <v>1</v>
      </c>
      <c r="S70" s="140"/>
      <c r="T70" s="140"/>
      <c r="U70" s="140"/>
      <c r="V70" s="178"/>
      <c r="W70" s="178">
        <v>2</v>
      </c>
      <c r="X70" s="178"/>
      <c r="Y70" s="168">
        <f t="shared" si="9"/>
        <v>3</v>
      </c>
      <c r="Z70" s="178"/>
      <c r="AA70" s="140">
        <f t="shared" si="13"/>
        <v>3</v>
      </c>
      <c r="AB70" s="168">
        <f t="shared" si="11"/>
        <v>0</v>
      </c>
      <c r="AC70" s="207">
        <f t="shared" si="8"/>
        <v>3</v>
      </c>
      <c r="AD70" s="29" t="s">
        <v>320</v>
      </c>
      <c r="IG70" s="120"/>
      <c r="IH70" s="120"/>
      <c r="II70" s="120"/>
    </row>
    <row r="71" spans="1:243" ht="15" thickBot="1">
      <c r="A71" s="125" t="s">
        <v>155</v>
      </c>
      <c r="B71" s="133" t="s">
        <v>36</v>
      </c>
      <c r="C71" s="136" t="s">
        <v>156</v>
      </c>
      <c r="D71" s="137" t="s">
        <v>32</v>
      </c>
      <c r="E71" s="179"/>
      <c r="F71" s="138"/>
      <c r="G71" s="179"/>
      <c r="H71" s="179">
        <f t="shared" si="10"/>
        <v>0</v>
      </c>
      <c r="I71" s="179"/>
      <c r="J71" s="179"/>
      <c r="K71" s="179">
        <f t="shared" si="12"/>
        <v>0</v>
      </c>
      <c r="L71" s="180"/>
      <c r="M71" s="180"/>
      <c r="N71" s="138">
        <v>5</v>
      </c>
      <c r="O71" s="179"/>
      <c r="P71" s="179">
        <v>5</v>
      </c>
      <c r="Q71" s="140">
        <v>5</v>
      </c>
      <c r="R71" s="140"/>
      <c r="S71" s="140"/>
      <c r="T71" s="140"/>
      <c r="U71" s="140"/>
      <c r="V71" s="178"/>
      <c r="W71" s="178">
        <v>4</v>
      </c>
      <c r="X71" s="178"/>
      <c r="Y71" s="168">
        <f t="shared" si="9"/>
        <v>5</v>
      </c>
      <c r="Z71" s="178"/>
      <c r="AA71" s="140">
        <f t="shared" si="13"/>
        <v>5</v>
      </c>
      <c r="AB71" s="168">
        <f t="shared" si="11"/>
        <v>0</v>
      </c>
      <c r="AC71" s="207">
        <f t="shared" si="8"/>
        <v>5</v>
      </c>
      <c r="AD71" s="29" t="s">
        <v>320</v>
      </c>
      <c r="IG71" s="120"/>
      <c r="IH71" s="120"/>
      <c r="II71" s="120"/>
    </row>
    <row r="72" spans="1:243" ht="15">
      <c r="A72" s="126" t="s">
        <v>157</v>
      </c>
      <c r="B72" s="133" t="s">
        <v>36</v>
      </c>
      <c r="C72" s="136" t="s">
        <v>158</v>
      </c>
      <c r="D72" s="137" t="s">
        <v>32</v>
      </c>
      <c r="E72" s="179"/>
      <c r="F72" s="179"/>
      <c r="G72" s="179"/>
      <c r="H72" s="179">
        <f t="shared" si="10"/>
        <v>0</v>
      </c>
      <c r="I72" s="179"/>
      <c r="J72" s="179"/>
      <c r="K72" s="179">
        <f t="shared" si="12"/>
        <v>0</v>
      </c>
      <c r="L72" s="180"/>
      <c r="M72" s="180"/>
      <c r="N72" s="138">
        <v>6</v>
      </c>
      <c r="O72" s="179"/>
      <c r="P72" s="179">
        <v>10</v>
      </c>
      <c r="Q72" s="140">
        <v>3</v>
      </c>
      <c r="R72" s="140">
        <v>2</v>
      </c>
      <c r="S72" s="140"/>
      <c r="T72" s="140"/>
      <c r="U72" s="140"/>
      <c r="V72" s="178"/>
      <c r="W72" s="178">
        <v>6</v>
      </c>
      <c r="X72" s="178"/>
      <c r="Y72" s="168">
        <f t="shared" si="9"/>
        <v>10</v>
      </c>
      <c r="Z72" s="178"/>
      <c r="AA72" s="140">
        <f t="shared" si="13"/>
        <v>10</v>
      </c>
      <c r="AB72" s="168">
        <f t="shared" si="11"/>
        <v>0</v>
      </c>
      <c r="AC72" s="207">
        <f t="shared" si="8"/>
        <v>10</v>
      </c>
      <c r="AD72" s="29" t="s">
        <v>320</v>
      </c>
      <c r="IG72" s="120"/>
      <c r="IH72" s="120"/>
      <c r="II72" s="120"/>
    </row>
    <row r="73" spans="1:243" ht="15">
      <c r="A73" s="166"/>
      <c r="B73" s="133" t="s">
        <v>30</v>
      </c>
      <c r="C73" s="213" t="s">
        <v>289</v>
      </c>
      <c r="D73" s="137" t="s">
        <v>53</v>
      </c>
      <c r="E73" s="179"/>
      <c r="F73" s="179"/>
      <c r="G73" s="179"/>
      <c r="H73" s="179"/>
      <c r="I73" s="179">
        <v>2</v>
      </c>
      <c r="J73" s="179">
        <v>4</v>
      </c>
      <c r="K73" s="179">
        <f t="shared" si="12"/>
        <v>6</v>
      </c>
      <c r="L73" s="180">
        <v>0.38</v>
      </c>
      <c r="M73" s="180"/>
      <c r="N73" s="138"/>
      <c r="O73" s="179"/>
      <c r="P73" s="179"/>
      <c r="Q73" s="140"/>
      <c r="R73" s="140"/>
      <c r="S73" s="140"/>
      <c r="T73" s="140"/>
      <c r="U73" s="140"/>
      <c r="V73" s="178"/>
      <c r="W73" s="178"/>
      <c r="X73" s="178"/>
      <c r="Y73" s="168">
        <v>3</v>
      </c>
      <c r="Z73" s="178"/>
      <c r="AA73" s="140">
        <f t="shared" si="13"/>
        <v>3</v>
      </c>
      <c r="AB73" s="168">
        <f t="shared" si="11"/>
        <v>3</v>
      </c>
      <c r="AC73" s="207">
        <f>+AA73-3</f>
        <v>0</v>
      </c>
      <c r="AD73" s="29" t="s">
        <v>320</v>
      </c>
      <c r="IG73" s="120"/>
      <c r="IH73" s="120"/>
      <c r="II73" s="120"/>
    </row>
    <row r="74" spans="1:243" ht="15">
      <c r="A74" s="166"/>
      <c r="B74" s="133" t="s">
        <v>36</v>
      </c>
      <c r="C74" s="136" t="s">
        <v>299</v>
      </c>
      <c r="D74" s="137" t="s">
        <v>32</v>
      </c>
      <c r="E74" s="179"/>
      <c r="F74" s="179"/>
      <c r="G74" s="179"/>
      <c r="H74" s="179"/>
      <c r="I74" s="179"/>
      <c r="J74" s="179"/>
      <c r="K74" s="179"/>
      <c r="L74" s="180"/>
      <c r="M74" s="180"/>
      <c r="N74" s="138"/>
      <c r="O74" s="179"/>
      <c r="P74" s="179"/>
      <c r="Q74" s="140"/>
      <c r="R74" s="140"/>
      <c r="S74" s="140"/>
      <c r="T74" s="140"/>
      <c r="U74" s="140"/>
      <c r="V74" s="178"/>
      <c r="W74" s="178"/>
      <c r="X74" s="178"/>
      <c r="Y74" s="168"/>
      <c r="Z74" s="178"/>
      <c r="AA74" s="140"/>
      <c r="AB74" s="168"/>
      <c r="AC74" s="207">
        <v>3</v>
      </c>
      <c r="AD74" s="29" t="s">
        <v>320</v>
      </c>
      <c r="IG74" s="120"/>
      <c r="IH74" s="120"/>
      <c r="II74" s="120"/>
    </row>
    <row r="75" spans="1:243" ht="15">
      <c r="A75" s="129" t="s">
        <v>159</v>
      </c>
      <c r="B75" s="133" t="s">
        <v>36</v>
      </c>
      <c r="C75" s="213" t="s">
        <v>159</v>
      </c>
      <c r="D75" s="140" t="s">
        <v>32</v>
      </c>
      <c r="E75" s="138"/>
      <c r="F75" s="138"/>
      <c r="G75" s="138"/>
      <c r="H75" s="179">
        <f t="shared" si="10"/>
        <v>0</v>
      </c>
      <c r="I75" s="179"/>
      <c r="J75" s="179"/>
      <c r="K75" s="179">
        <f t="shared" si="12"/>
        <v>0</v>
      </c>
      <c r="L75" s="139"/>
      <c r="M75" s="139"/>
      <c r="N75" s="138">
        <v>17</v>
      </c>
      <c r="O75" s="179"/>
      <c r="P75" s="179">
        <v>17</v>
      </c>
      <c r="Q75" s="140">
        <v>17</v>
      </c>
      <c r="R75" s="140"/>
      <c r="S75" s="140"/>
      <c r="T75" s="140">
        <v>1</v>
      </c>
      <c r="U75" s="140"/>
      <c r="V75" s="178"/>
      <c r="W75" s="178">
        <v>15</v>
      </c>
      <c r="X75" s="178"/>
      <c r="Y75" s="168">
        <f t="shared" si="9"/>
        <v>17</v>
      </c>
      <c r="Z75" s="178"/>
      <c r="AA75" s="140">
        <f t="shared" si="13"/>
        <v>17</v>
      </c>
      <c r="AB75" s="168">
        <f t="shared" si="11"/>
        <v>0</v>
      </c>
      <c r="AC75" s="207">
        <f>+AA75-4</f>
        <v>13</v>
      </c>
      <c r="AD75" s="29" t="s">
        <v>322</v>
      </c>
      <c r="IG75" s="120"/>
      <c r="IH75" s="120"/>
      <c r="II75" s="120"/>
    </row>
    <row r="76" spans="1:243" ht="15">
      <c r="A76" s="214"/>
      <c r="B76" s="133" t="s">
        <v>36</v>
      </c>
      <c r="C76" s="213" t="s">
        <v>310</v>
      </c>
      <c r="D76" s="140" t="s">
        <v>38</v>
      </c>
      <c r="E76" s="138"/>
      <c r="F76" s="138"/>
      <c r="G76" s="138"/>
      <c r="H76" s="179"/>
      <c r="I76" s="179"/>
      <c r="J76" s="179"/>
      <c r="K76" s="179"/>
      <c r="L76" s="139"/>
      <c r="M76" s="139"/>
      <c r="N76" s="138"/>
      <c r="O76" s="179"/>
      <c r="P76" s="179"/>
      <c r="Q76" s="140"/>
      <c r="R76" s="140"/>
      <c r="S76" s="140"/>
      <c r="T76" s="140"/>
      <c r="U76" s="140"/>
      <c r="V76" s="178"/>
      <c r="W76" s="178"/>
      <c r="X76" s="178"/>
      <c r="Y76" s="168"/>
      <c r="Z76" s="178"/>
      <c r="AA76" s="140"/>
      <c r="AB76" s="168"/>
      <c r="AC76" s="207">
        <v>3</v>
      </c>
      <c r="AD76" s="29" t="s">
        <v>320</v>
      </c>
      <c r="IG76" s="120"/>
      <c r="IH76" s="120"/>
      <c r="II76" s="120"/>
    </row>
    <row r="77" spans="1:243" ht="15">
      <c r="A77" s="214"/>
      <c r="B77" s="133" t="s">
        <v>30</v>
      </c>
      <c r="C77" s="213" t="s">
        <v>311</v>
      </c>
      <c r="D77" s="140" t="s">
        <v>38</v>
      </c>
      <c r="E77" s="138"/>
      <c r="F77" s="138"/>
      <c r="G77" s="138"/>
      <c r="H77" s="179"/>
      <c r="I77" s="179"/>
      <c r="J77" s="179"/>
      <c r="K77" s="179"/>
      <c r="L77" s="139"/>
      <c r="M77" s="139"/>
      <c r="N77" s="138"/>
      <c r="O77" s="179"/>
      <c r="P77" s="179"/>
      <c r="Q77" s="140"/>
      <c r="R77" s="140"/>
      <c r="S77" s="140"/>
      <c r="T77" s="140"/>
      <c r="U77" s="140"/>
      <c r="V77" s="178"/>
      <c r="W77" s="178"/>
      <c r="X77" s="178"/>
      <c r="Y77" s="168"/>
      <c r="Z77" s="178"/>
      <c r="AA77" s="140"/>
      <c r="AB77" s="168"/>
      <c r="AC77" s="207">
        <v>3</v>
      </c>
      <c r="AD77" s="29" t="s">
        <v>320</v>
      </c>
      <c r="IG77" s="120"/>
      <c r="IH77" s="120"/>
      <c r="II77" s="120"/>
    </row>
    <row r="78" spans="1:243" ht="15">
      <c r="A78" s="214"/>
      <c r="B78" s="133" t="s">
        <v>36</v>
      </c>
      <c r="C78" s="213" t="s">
        <v>315</v>
      </c>
      <c r="D78" s="140" t="s">
        <v>316</v>
      </c>
      <c r="E78" s="138"/>
      <c r="F78" s="138"/>
      <c r="G78" s="138"/>
      <c r="H78" s="179"/>
      <c r="I78" s="179"/>
      <c r="J78" s="179"/>
      <c r="K78" s="179"/>
      <c r="L78" s="139"/>
      <c r="M78" s="139"/>
      <c r="N78" s="138"/>
      <c r="O78" s="179"/>
      <c r="P78" s="179"/>
      <c r="Q78" s="140"/>
      <c r="R78" s="140"/>
      <c r="S78" s="140"/>
      <c r="T78" s="140"/>
      <c r="U78" s="140"/>
      <c r="V78" s="178"/>
      <c r="W78" s="178"/>
      <c r="X78" s="178"/>
      <c r="Y78" s="168"/>
      <c r="Z78" s="178"/>
      <c r="AA78" s="140"/>
      <c r="AB78" s="168"/>
      <c r="AC78" s="207">
        <v>3</v>
      </c>
      <c r="AD78" s="29" t="s">
        <v>320</v>
      </c>
      <c r="IG78" s="120"/>
      <c r="IH78" s="120"/>
      <c r="II78" s="120"/>
    </row>
    <row r="79" spans="4:243" ht="15">
      <c r="D79" s="191" t="s">
        <v>160</v>
      </c>
      <c r="E79" s="130"/>
      <c r="F79" s="130"/>
      <c r="G79" s="130"/>
      <c r="H79" s="130"/>
      <c r="I79" s="130"/>
      <c r="J79" s="130"/>
      <c r="K79" s="193">
        <f t="shared" si="12"/>
        <v>0</v>
      </c>
      <c r="L79" s="130"/>
      <c r="M79" s="130"/>
      <c r="N79" s="130"/>
      <c r="O79" s="130"/>
      <c r="P79" s="182">
        <f aca="true" t="shared" si="14" ref="P79:W79">SUM(P2:P75)</f>
        <v>691</v>
      </c>
      <c r="Q79" s="182">
        <f t="shared" si="14"/>
        <v>503</v>
      </c>
      <c r="R79" s="182">
        <f t="shared" si="14"/>
        <v>87</v>
      </c>
      <c r="S79" s="182">
        <f t="shared" si="14"/>
        <v>7</v>
      </c>
      <c r="T79" s="182">
        <f t="shared" si="14"/>
        <v>6</v>
      </c>
      <c r="U79" s="182">
        <f t="shared" si="14"/>
        <v>9</v>
      </c>
      <c r="V79" s="182">
        <f t="shared" si="14"/>
        <v>0</v>
      </c>
      <c r="W79" s="182">
        <f t="shared" si="14"/>
        <v>648</v>
      </c>
      <c r="X79" s="194"/>
      <c r="Y79" s="195"/>
      <c r="Z79" s="195"/>
      <c r="AA79" s="215">
        <f>SUM(AA2:AA75)</f>
        <v>711</v>
      </c>
      <c r="AB79" s="216">
        <f t="shared" si="11"/>
        <v>20</v>
      </c>
      <c r="AC79" s="215">
        <f>SUM(AC2:AC78)</f>
        <v>717</v>
      </c>
      <c r="IG79" s="120"/>
      <c r="IH79" s="120"/>
      <c r="II79" s="120"/>
    </row>
    <row r="80" spans="4:29" ht="15">
      <c r="D80" s="192" t="s">
        <v>161</v>
      </c>
      <c r="E80" s="30"/>
      <c r="F80" s="30"/>
      <c r="G80" s="30"/>
      <c r="H80" s="30"/>
      <c r="I80" s="30"/>
      <c r="J80" s="30"/>
      <c r="K80" s="179">
        <f t="shared" si="12"/>
        <v>0</v>
      </c>
      <c r="L80" s="30"/>
      <c r="M80" s="30"/>
      <c r="N80" s="30"/>
      <c r="O80" s="30" t="s">
        <v>162</v>
      </c>
      <c r="P80" s="30">
        <v>51</v>
      </c>
      <c r="W80" s="29">
        <v>24</v>
      </c>
      <c r="Y80" s="178"/>
      <c r="Z80" s="178"/>
      <c r="AA80" s="183">
        <v>51</v>
      </c>
      <c r="AB80" s="140"/>
      <c r="AC80" s="183">
        <v>52</v>
      </c>
    </row>
    <row r="81" spans="4:29" ht="15">
      <c r="D81" s="192" t="s">
        <v>163</v>
      </c>
      <c r="E81" s="30"/>
      <c r="F81" s="30"/>
      <c r="G81" s="30"/>
      <c r="H81" s="30"/>
      <c r="I81" s="30"/>
      <c r="J81" s="30"/>
      <c r="K81" s="179">
        <f t="shared" si="12"/>
        <v>0</v>
      </c>
      <c r="L81" s="30"/>
      <c r="M81" s="30"/>
      <c r="N81" s="30"/>
      <c r="O81" s="30"/>
      <c r="P81" s="32">
        <f>+P79+P80</f>
        <v>742</v>
      </c>
      <c r="W81" s="33">
        <f>+W79+W80</f>
        <v>672</v>
      </c>
      <c r="X81" s="33"/>
      <c r="Y81" s="178"/>
      <c r="Z81" s="178"/>
      <c r="AA81" s="183">
        <f>SUM(AA79:AA80)</f>
        <v>762</v>
      </c>
      <c r="AB81" s="140"/>
      <c r="AC81" s="183">
        <f>+AC79+AC80</f>
        <v>769</v>
      </c>
    </row>
  </sheetData>
  <sheetProtection selectLockedCells="1" selectUnlockedCells="1"/>
  <autoFilter ref="A1:II81"/>
  <printOptions horizontalCentered="1"/>
  <pageMargins left="0.25" right="0.25" top="0.75" bottom="0.75" header="0.3" footer="0.3"/>
  <pageSetup fitToHeight="1" fitToWidth="1" horizontalDpi="600" verticalDpi="600" orientation="portrait" paperSize="8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B59">
      <selection activeCell="P77" sqref="P77"/>
    </sheetView>
  </sheetViews>
  <sheetFormatPr defaultColWidth="8.796875" defaultRowHeight="15"/>
  <cols>
    <col min="1" max="1" width="0" style="120" hidden="1" customWidth="1"/>
    <col min="2" max="2" width="8.796875" style="120" customWidth="1"/>
    <col min="3" max="3" width="46.796875" style="122" customWidth="1"/>
    <col min="4" max="4" width="8.796875" style="120" customWidth="1"/>
    <col min="5" max="10" width="8.8984375" style="122" hidden="1" customWidth="1"/>
    <col min="11" max="11" width="11.8984375" style="122" hidden="1" customWidth="1"/>
    <col min="12" max="13" width="8.8984375" style="122" hidden="1" customWidth="1"/>
    <col min="14" max="15" width="8.796875" style="120" hidden="1" customWidth="1"/>
    <col min="16" max="16" width="11.796875" style="120" bestFit="1" customWidth="1"/>
    <col min="17" max="16384" width="8.796875" style="120" customWidth="1"/>
  </cols>
  <sheetData>
    <row r="1" spans="1:16" ht="39">
      <c r="A1" s="142" t="s">
        <v>13</v>
      </c>
      <c r="B1" s="151" t="s">
        <v>14</v>
      </c>
      <c r="C1" s="152" t="s">
        <v>15</v>
      </c>
      <c r="D1" s="152" t="s">
        <v>16</v>
      </c>
      <c r="E1" s="132" t="s">
        <v>281</v>
      </c>
      <c r="F1" s="132" t="s">
        <v>291</v>
      </c>
      <c r="G1" s="152" t="s">
        <v>164</v>
      </c>
      <c r="H1" s="152" t="s">
        <v>165</v>
      </c>
      <c r="I1" s="152" t="s">
        <v>282</v>
      </c>
      <c r="J1" s="152" t="s">
        <v>19</v>
      </c>
      <c r="K1" s="152" t="s">
        <v>166</v>
      </c>
      <c r="L1" s="149" t="s">
        <v>167</v>
      </c>
      <c r="M1" s="34" t="s">
        <v>28</v>
      </c>
      <c r="N1" s="152" t="s">
        <v>282</v>
      </c>
      <c r="O1" s="152" t="s">
        <v>19</v>
      </c>
      <c r="P1" s="152" t="s">
        <v>297</v>
      </c>
    </row>
    <row r="2" spans="1:16" ht="15">
      <c r="A2" s="36" t="s">
        <v>29</v>
      </c>
      <c r="B2" s="153" t="s">
        <v>30</v>
      </c>
      <c r="C2" s="154" t="s">
        <v>31</v>
      </c>
      <c r="D2" s="155" t="s">
        <v>32</v>
      </c>
      <c r="E2" s="156">
        <v>0</v>
      </c>
      <c r="F2" s="167">
        <v>12</v>
      </c>
      <c r="G2" s="157">
        <v>0.75</v>
      </c>
      <c r="H2" s="157">
        <v>0.96</v>
      </c>
      <c r="I2" s="170">
        <f>+G2*E2</f>
        <v>0</v>
      </c>
      <c r="J2" s="171">
        <v>4</v>
      </c>
      <c r="K2" s="170">
        <v>4</v>
      </c>
      <c r="L2" s="150">
        <v>0</v>
      </c>
      <c r="M2" s="35"/>
      <c r="N2" s="157">
        <v>9</v>
      </c>
      <c r="O2" s="157"/>
      <c r="P2" s="157">
        <f>+N2+O2</f>
        <v>9</v>
      </c>
    </row>
    <row r="3" spans="1:16" ht="15" thickBot="1">
      <c r="A3" s="143" t="s">
        <v>33</v>
      </c>
      <c r="B3" s="153" t="s">
        <v>30</v>
      </c>
      <c r="C3" s="159" t="s">
        <v>34</v>
      </c>
      <c r="D3" s="155" t="s">
        <v>32</v>
      </c>
      <c r="E3" s="156">
        <v>10</v>
      </c>
      <c r="F3" s="167">
        <v>11</v>
      </c>
      <c r="G3" s="157">
        <v>0.7</v>
      </c>
      <c r="H3" s="157">
        <v>0.75</v>
      </c>
      <c r="I3" s="170">
        <f aca="true" t="shared" si="0" ref="I3:I56">+G3*E3</f>
        <v>7</v>
      </c>
      <c r="J3" s="171">
        <v>3</v>
      </c>
      <c r="K3" s="170">
        <v>10</v>
      </c>
      <c r="L3" s="150">
        <v>10</v>
      </c>
      <c r="M3" s="35"/>
      <c r="N3" s="157">
        <v>8</v>
      </c>
      <c r="O3" s="157">
        <v>2</v>
      </c>
      <c r="P3" s="157">
        <f aca="true" t="shared" si="1" ref="P3:P66">+N3+O3</f>
        <v>10</v>
      </c>
    </row>
    <row r="4" spans="1:16" ht="15">
      <c r="A4" s="144" t="s">
        <v>35</v>
      </c>
      <c r="B4" s="153" t="s">
        <v>36</v>
      </c>
      <c r="C4" s="159" t="s">
        <v>37</v>
      </c>
      <c r="D4" s="160" t="s">
        <v>38</v>
      </c>
      <c r="E4" s="156">
        <v>4</v>
      </c>
      <c r="F4" s="167">
        <v>0</v>
      </c>
      <c r="G4" s="157">
        <v>0.5</v>
      </c>
      <c r="H4" s="157">
        <v>0.66</v>
      </c>
      <c r="I4" s="170">
        <f t="shared" si="0"/>
        <v>2</v>
      </c>
      <c r="J4" s="171">
        <v>1</v>
      </c>
      <c r="K4" s="170">
        <v>3</v>
      </c>
      <c r="L4" s="150">
        <v>3</v>
      </c>
      <c r="M4" s="35"/>
      <c r="N4" s="157">
        <v>3</v>
      </c>
      <c r="O4" s="157"/>
      <c r="P4" s="157">
        <f t="shared" si="1"/>
        <v>3</v>
      </c>
    </row>
    <row r="5" spans="1:16" ht="15">
      <c r="A5" s="145" t="s">
        <v>35</v>
      </c>
      <c r="B5" s="153" t="s">
        <v>36</v>
      </c>
      <c r="C5" s="159" t="s">
        <v>39</v>
      </c>
      <c r="D5" s="160" t="s">
        <v>32</v>
      </c>
      <c r="E5" s="156">
        <v>24</v>
      </c>
      <c r="F5" s="167">
        <v>22</v>
      </c>
      <c r="G5" s="157">
        <v>0.5</v>
      </c>
      <c r="H5" s="157">
        <v>0.66</v>
      </c>
      <c r="I5" s="170">
        <f t="shared" si="0"/>
        <v>12</v>
      </c>
      <c r="J5" s="171">
        <v>19</v>
      </c>
      <c r="K5" s="170">
        <v>31</v>
      </c>
      <c r="L5" s="150">
        <v>31</v>
      </c>
      <c r="M5" s="35"/>
      <c r="N5" s="157">
        <v>11</v>
      </c>
      <c r="O5" s="157">
        <v>20</v>
      </c>
      <c r="P5" s="157">
        <f t="shared" si="1"/>
        <v>31</v>
      </c>
    </row>
    <row r="6" spans="1:16" ht="15" thickBot="1">
      <c r="A6" s="146" t="s">
        <v>35</v>
      </c>
      <c r="B6" s="153" t="s">
        <v>36</v>
      </c>
      <c r="C6" s="159" t="s">
        <v>40</v>
      </c>
      <c r="D6" s="160" t="s">
        <v>32</v>
      </c>
      <c r="E6" s="156">
        <v>18</v>
      </c>
      <c r="F6" s="167">
        <v>22</v>
      </c>
      <c r="G6" s="157">
        <v>0.5</v>
      </c>
      <c r="H6" s="157">
        <v>0.66</v>
      </c>
      <c r="I6" s="170">
        <f t="shared" si="0"/>
        <v>9</v>
      </c>
      <c r="J6" s="171">
        <v>14</v>
      </c>
      <c r="K6" s="170">
        <v>23</v>
      </c>
      <c r="L6" s="150">
        <v>23</v>
      </c>
      <c r="M6" s="35"/>
      <c r="N6" s="157">
        <v>11</v>
      </c>
      <c r="O6" s="157">
        <v>12</v>
      </c>
      <c r="P6" s="157">
        <f t="shared" si="1"/>
        <v>23</v>
      </c>
    </row>
    <row r="7" spans="1:16" ht="15">
      <c r="A7" s="147" t="s">
        <v>41</v>
      </c>
      <c r="B7" s="153" t="s">
        <v>36</v>
      </c>
      <c r="C7" s="159" t="s">
        <v>42</v>
      </c>
      <c r="D7" s="160" t="s">
        <v>32</v>
      </c>
      <c r="E7" s="156">
        <v>8</v>
      </c>
      <c r="F7" s="167">
        <v>8</v>
      </c>
      <c r="G7" s="157">
        <v>0.7</v>
      </c>
      <c r="H7" s="157">
        <v>0.75</v>
      </c>
      <c r="I7" s="170">
        <f t="shared" si="0"/>
        <v>5.6</v>
      </c>
      <c r="J7" s="171">
        <v>6</v>
      </c>
      <c r="K7" s="170">
        <v>12</v>
      </c>
      <c r="L7" s="150">
        <v>12</v>
      </c>
      <c r="M7" s="35"/>
      <c r="N7" s="157">
        <v>7</v>
      </c>
      <c r="O7" s="157">
        <v>5</v>
      </c>
      <c r="P7" s="157">
        <f t="shared" si="1"/>
        <v>12</v>
      </c>
    </row>
    <row r="8" spans="1:16" ht="15">
      <c r="A8" s="36" t="s">
        <v>43</v>
      </c>
      <c r="B8" s="153" t="s">
        <v>36</v>
      </c>
      <c r="C8" s="159" t="s">
        <v>44</v>
      </c>
      <c r="D8" s="160" t="s">
        <v>32</v>
      </c>
      <c r="E8" s="156">
        <v>12</v>
      </c>
      <c r="F8" s="167">
        <v>10</v>
      </c>
      <c r="G8" s="157">
        <v>0.7</v>
      </c>
      <c r="H8" s="157">
        <v>0.75</v>
      </c>
      <c r="I8" s="170">
        <f t="shared" si="0"/>
        <v>8.399999999999999</v>
      </c>
      <c r="J8" s="171">
        <v>7</v>
      </c>
      <c r="K8" s="170">
        <v>15</v>
      </c>
      <c r="L8" s="150">
        <v>15</v>
      </c>
      <c r="M8" s="35"/>
      <c r="N8" s="157">
        <v>7</v>
      </c>
      <c r="O8" s="157">
        <v>8</v>
      </c>
      <c r="P8" s="157">
        <f t="shared" si="1"/>
        <v>15</v>
      </c>
    </row>
    <row r="9" spans="1:16" ht="15" thickBot="1">
      <c r="A9" s="143" t="s">
        <v>45</v>
      </c>
      <c r="B9" s="153" t="s">
        <v>30</v>
      </c>
      <c r="C9" s="159" t="s">
        <v>46</v>
      </c>
      <c r="D9" s="155" t="s">
        <v>32</v>
      </c>
      <c r="E9" s="156">
        <v>13</v>
      </c>
      <c r="F9" s="167">
        <v>19</v>
      </c>
      <c r="G9" s="157">
        <v>0.75</v>
      </c>
      <c r="H9" s="157">
        <v>0.96</v>
      </c>
      <c r="I9" s="170">
        <f t="shared" si="0"/>
        <v>9.75</v>
      </c>
      <c r="J9" s="171">
        <v>13</v>
      </c>
      <c r="K9" s="170">
        <v>23</v>
      </c>
      <c r="L9" s="150">
        <v>23</v>
      </c>
      <c r="M9" s="35"/>
      <c r="N9" s="157">
        <v>15</v>
      </c>
      <c r="O9" s="157">
        <v>8</v>
      </c>
      <c r="P9" s="157">
        <f t="shared" si="1"/>
        <v>23</v>
      </c>
    </row>
    <row r="10" spans="1:16" ht="15">
      <c r="A10" s="144" t="s">
        <v>47</v>
      </c>
      <c r="B10" s="153" t="s">
        <v>36</v>
      </c>
      <c r="C10" s="159" t="s">
        <v>48</v>
      </c>
      <c r="D10" s="160" t="s">
        <v>32</v>
      </c>
      <c r="E10" s="156">
        <v>17</v>
      </c>
      <c r="F10" s="167">
        <v>14</v>
      </c>
      <c r="G10" s="157">
        <v>0.61</v>
      </c>
      <c r="H10" s="157">
        <v>0.7</v>
      </c>
      <c r="I10" s="170">
        <f t="shared" si="0"/>
        <v>10.37</v>
      </c>
      <c r="J10" s="171">
        <v>15</v>
      </c>
      <c r="K10" s="170">
        <v>25</v>
      </c>
      <c r="L10" s="150">
        <v>25</v>
      </c>
      <c r="M10" s="35"/>
      <c r="N10" s="157">
        <v>9</v>
      </c>
      <c r="O10" s="157">
        <v>16</v>
      </c>
      <c r="P10" s="157">
        <f t="shared" si="1"/>
        <v>25</v>
      </c>
    </row>
    <row r="11" spans="1:16" ht="15">
      <c r="A11" s="145" t="s">
        <v>49</v>
      </c>
      <c r="B11" s="153" t="s">
        <v>36</v>
      </c>
      <c r="C11" s="159" t="s">
        <v>50</v>
      </c>
      <c r="D11" s="160" t="s">
        <v>32</v>
      </c>
      <c r="E11" s="156">
        <v>16</v>
      </c>
      <c r="F11" s="167">
        <v>16</v>
      </c>
      <c r="G11" s="157">
        <v>1.75</v>
      </c>
      <c r="H11" s="157">
        <v>2</v>
      </c>
      <c r="I11" s="170">
        <f t="shared" si="0"/>
        <v>28</v>
      </c>
      <c r="J11" s="171"/>
      <c r="K11" s="170">
        <v>28</v>
      </c>
      <c r="L11" s="150">
        <v>22</v>
      </c>
      <c r="M11" s="35"/>
      <c r="N11" s="157">
        <f>+G11*F11</f>
        <v>28</v>
      </c>
      <c r="O11" s="157"/>
      <c r="P11" s="157">
        <f t="shared" si="1"/>
        <v>28</v>
      </c>
    </row>
    <row r="12" spans="1:16" ht="15" thickBot="1">
      <c r="A12" s="146" t="s">
        <v>51</v>
      </c>
      <c r="B12" s="153" t="s">
        <v>30</v>
      </c>
      <c r="C12" s="159" t="s">
        <v>52</v>
      </c>
      <c r="D12" s="160" t="s">
        <v>53</v>
      </c>
      <c r="E12" s="156">
        <v>0</v>
      </c>
      <c r="F12" s="167">
        <v>2</v>
      </c>
      <c r="G12" s="157"/>
      <c r="H12" s="157">
        <v>2</v>
      </c>
      <c r="I12" s="170"/>
      <c r="J12" s="171"/>
      <c r="K12" s="170">
        <v>0</v>
      </c>
      <c r="L12" s="150">
        <v>0</v>
      </c>
      <c r="M12" s="35"/>
      <c r="N12" s="157">
        <f>+F12*H12</f>
        <v>4</v>
      </c>
      <c r="O12" s="157"/>
      <c r="P12" s="157">
        <f t="shared" si="1"/>
        <v>4</v>
      </c>
    </row>
    <row r="13" spans="1:16" ht="15">
      <c r="A13" s="147" t="s">
        <v>54</v>
      </c>
      <c r="B13" s="153" t="s">
        <v>36</v>
      </c>
      <c r="C13" s="159" t="s">
        <v>55</v>
      </c>
      <c r="D13" s="160" t="s">
        <v>32</v>
      </c>
      <c r="E13" s="156">
        <v>14</v>
      </c>
      <c r="F13" s="167">
        <v>14</v>
      </c>
      <c r="G13" s="157">
        <v>0.701</v>
      </c>
      <c r="H13" s="157">
        <v>0.75</v>
      </c>
      <c r="I13" s="170">
        <f t="shared" si="0"/>
        <v>9.814</v>
      </c>
      <c r="J13" s="171">
        <v>11</v>
      </c>
      <c r="K13" s="170">
        <v>21</v>
      </c>
      <c r="L13" s="150">
        <v>21</v>
      </c>
      <c r="M13" s="35"/>
      <c r="N13" s="157">
        <v>10</v>
      </c>
      <c r="O13" s="157">
        <v>11</v>
      </c>
      <c r="P13" s="157">
        <f t="shared" si="1"/>
        <v>21</v>
      </c>
    </row>
    <row r="14" spans="1:16" ht="15">
      <c r="A14" s="36" t="s">
        <v>56</v>
      </c>
      <c r="B14" s="153" t="s">
        <v>36</v>
      </c>
      <c r="C14" s="159" t="s">
        <v>57</v>
      </c>
      <c r="D14" s="155" t="s">
        <v>38</v>
      </c>
      <c r="E14" s="156">
        <v>7</v>
      </c>
      <c r="F14" s="167">
        <v>10</v>
      </c>
      <c r="G14" s="157">
        <v>0.7</v>
      </c>
      <c r="H14" s="157">
        <v>0.7</v>
      </c>
      <c r="I14" s="170">
        <f t="shared" si="0"/>
        <v>4.8999999999999995</v>
      </c>
      <c r="J14" s="171">
        <v>-1</v>
      </c>
      <c r="K14" s="170">
        <v>4</v>
      </c>
      <c r="L14" s="150">
        <v>4</v>
      </c>
      <c r="M14" s="35"/>
      <c r="N14" s="157">
        <v>6</v>
      </c>
      <c r="O14" s="157"/>
      <c r="P14" s="157">
        <f t="shared" si="1"/>
        <v>6</v>
      </c>
    </row>
    <row r="15" spans="1:16" ht="15">
      <c r="A15" s="36" t="s">
        <v>58</v>
      </c>
      <c r="B15" s="153" t="s">
        <v>36</v>
      </c>
      <c r="C15" s="159" t="s">
        <v>59</v>
      </c>
      <c r="D15" s="160" t="s">
        <v>32</v>
      </c>
      <c r="E15" s="138">
        <v>16</v>
      </c>
      <c r="F15" s="167">
        <v>16</v>
      </c>
      <c r="G15" s="139">
        <v>0.96</v>
      </c>
      <c r="H15" s="139">
        <v>0.96</v>
      </c>
      <c r="I15" s="170">
        <f t="shared" si="0"/>
        <v>15.36</v>
      </c>
      <c r="J15" s="171">
        <v>-2</v>
      </c>
      <c r="K15" s="170">
        <v>13</v>
      </c>
      <c r="L15" s="150">
        <v>13</v>
      </c>
      <c r="M15" s="35"/>
      <c r="N15" s="157">
        <v>15</v>
      </c>
      <c r="O15" s="157"/>
      <c r="P15" s="157">
        <f t="shared" si="1"/>
        <v>15</v>
      </c>
    </row>
    <row r="16" spans="1:16" ht="15">
      <c r="A16" s="36" t="s">
        <v>58</v>
      </c>
      <c r="B16" s="153" t="s">
        <v>30</v>
      </c>
      <c r="C16" s="159" t="s">
        <v>60</v>
      </c>
      <c r="D16" s="155" t="s">
        <v>32</v>
      </c>
      <c r="E16" s="138">
        <v>17</v>
      </c>
      <c r="F16" s="167">
        <v>17</v>
      </c>
      <c r="G16" s="139">
        <v>0.96</v>
      </c>
      <c r="H16" s="139">
        <v>0.96</v>
      </c>
      <c r="I16" s="170">
        <f t="shared" si="0"/>
        <v>16.32</v>
      </c>
      <c r="J16" s="171"/>
      <c r="K16" s="170">
        <v>16</v>
      </c>
      <c r="L16" s="150">
        <v>12</v>
      </c>
      <c r="M16" s="35"/>
      <c r="N16" s="157">
        <v>16</v>
      </c>
      <c r="O16" s="157"/>
      <c r="P16" s="157">
        <f t="shared" si="1"/>
        <v>16</v>
      </c>
    </row>
    <row r="17" spans="1:16" ht="15" thickBot="1">
      <c r="A17" s="143" t="s">
        <v>61</v>
      </c>
      <c r="B17" s="153" t="s">
        <v>36</v>
      </c>
      <c r="C17" s="159" t="s">
        <v>62</v>
      </c>
      <c r="D17" s="160" t="s">
        <v>32</v>
      </c>
      <c r="E17" s="138">
        <v>39</v>
      </c>
      <c r="F17" s="167">
        <v>33</v>
      </c>
      <c r="G17" s="139">
        <v>0.5</v>
      </c>
      <c r="H17" s="139">
        <v>0.66</v>
      </c>
      <c r="I17" s="170">
        <v>19</v>
      </c>
      <c r="J17" s="171">
        <v>2</v>
      </c>
      <c r="K17" s="170">
        <v>21</v>
      </c>
      <c r="L17" s="150">
        <v>18</v>
      </c>
      <c r="M17" s="35"/>
      <c r="N17" s="157">
        <v>17</v>
      </c>
      <c r="O17" s="209">
        <f>4+4</f>
        <v>8</v>
      </c>
      <c r="P17" s="157">
        <f t="shared" si="1"/>
        <v>25</v>
      </c>
    </row>
    <row r="18" spans="1:16" ht="15">
      <c r="A18" s="144" t="s">
        <v>61</v>
      </c>
      <c r="B18" s="153" t="s">
        <v>36</v>
      </c>
      <c r="C18" s="159" t="s">
        <v>63</v>
      </c>
      <c r="D18" s="160" t="s">
        <v>32</v>
      </c>
      <c r="E18" s="138">
        <v>48</v>
      </c>
      <c r="F18" s="167">
        <v>55</v>
      </c>
      <c r="G18" s="139">
        <v>0.5</v>
      </c>
      <c r="H18" s="139">
        <v>0.66</v>
      </c>
      <c r="I18" s="170">
        <f t="shared" si="0"/>
        <v>24</v>
      </c>
      <c r="J18" s="171">
        <v>13</v>
      </c>
      <c r="K18" s="170">
        <v>37</v>
      </c>
      <c r="L18" s="150">
        <v>35</v>
      </c>
      <c r="M18" s="35"/>
      <c r="N18" s="157">
        <v>28</v>
      </c>
      <c r="O18" s="209">
        <f>9+5</f>
        <v>14</v>
      </c>
      <c r="P18" s="157">
        <f t="shared" si="1"/>
        <v>42</v>
      </c>
    </row>
    <row r="19" spans="1:16" ht="15">
      <c r="A19" s="145" t="s">
        <v>64</v>
      </c>
      <c r="B19" s="153" t="s">
        <v>36</v>
      </c>
      <c r="C19" s="159" t="s">
        <v>65</v>
      </c>
      <c r="D19" s="160" t="s">
        <v>53</v>
      </c>
      <c r="E19" s="138">
        <v>4</v>
      </c>
      <c r="F19" s="167">
        <v>20</v>
      </c>
      <c r="G19" s="139">
        <v>0.39</v>
      </c>
      <c r="H19" s="139">
        <v>0.5</v>
      </c>
      <c r="I19" s="170"/>
      <c r="J19" s="171"/>
      <c r="K19" s="170">
        <v>0</v>
      </c>
      <c r="L19" s="150">
        <v>0</v>
      </c>
      <c r="M19" s="35"/>
      <c r="N19" s="157"/>
      <c r="O19" s="157"/>
      <c r="P19" s="157">
        <f t="shared" si="1"/>
        <v>0</v>
      </c>
    </row>
    <row r="20" spans="1:16" ht="15">
      <c r="A20" s="145" t="s">
        <v>66</v>
      </c>
      <c r="B20" s="153" t="s">
        <v>36</v>
      </c>
      <c r="C20" s="159" t="s">
        <v>67</v>
      </c>
      <c r="D20" s="160" t="s">
        <v>53</v>
      </c>
      <c r="E20" s="138">
        <v>18</v>
      </c>
      <c r="F20" s="167">
        <v>16</v>
      </c>
      <c r="G20" s="139">
        <v>0.38</v>
      </c>
      <c r="H20" s="139">
        <v>0.38</v>
      </c>
      <c r="I20" s="170">
        <f t="shared" si="0"/>
        <v>6.84</v>
      </c>
      <c r="J20" s="171">
        <v>3</v>
      </c>
      <c r="K20" s="170">
        <v>10</v>
      </c>
      <c r="L20" s="150">
        <v>12</v>
      </c>
      <c r="M20" s="35"/>
      <c r="N20" s="157">
        <v>6</v>
      </c>
      <c r="O20" s="157">
        <v>4</v>
      </c>
      <c r="P20" s="157">
        <f t="shared" si="1"/>
        <v>10</v>
      </c>
    </row>
    <row r="21" spans="1:16" ht="15">
      <c r="A21" s="145" t="s">
        <v>68</v>
      </c>
      <c r="B21" s="153" t="s">
        <v>36</v>
      </c>
      <c r="C21" s="159" t="s">
        <v>69</v>
      </c>
      <c r="D21" s="160" t="s">
        <v>38</v>
      </c>
      <c r="E21" s="138">
        <v>2</v>
      </c>
      <c r="F21" s="167">
        <v>2</v>
      </c>
      <c r="G21" s="139">
        <v>0.68</v>
      </c>
      <c r="H21" s="139">
        <v>0.75</v>
      </c>
      <c r="I21" s="170">
        <f t="shared" si="0"/>
        <v>1.36</v>
      </c>
      <c r="J21" s="171">
        <v>3</v>
      </c>
      <c r="K21" s="170">
        <v>4</v>
      </c>
      <c r="L21" s="150">
        <v>0</v>
      </c>
      <c r="M21" s="35"/>
      <c r="N21" s="157">
        <v>2</v>
      </c>
      <c r="O21" s="157">
        <v>2</v>
      </c>
      <c r="P21" s="157">
        <f t="shared" si="1"/>
        <v>4</v>
      </c>
    </row>
    <row r="22" spans="1:16" ht="15" thickBot="1">
      <c r="A22" s="146" t="s">
        <v>70</v>
      </c>
      <c r="B22" s="153" t="s">
        <v>36</v>
      </c>
      <c r="C22" s="159" t="s">
        <v>71</v>
      </c>
      <c r="D22" s="160" t="s">
        <v>38</v>
      </c>
      <c r="E22" s="138">
        <v>0</v>
      </c>
      <c r="F22" s="167">
        <v>2</v>
      </c>
      <c r="G22" s="139">
        <v>0.4</v>
      </c>
      <c r="H22" s="139">
        <v>0.68</v>
      </c>
      <c r="I22" s="170">
        <f t="shared" si="0"/>
        <v>0</v>
      </c>
      <c r="J22" s="171">
        <v>4</v>
      </c>
      <c r="K22" s="170">
        <v>4</v>
      </c>
      <c r="L22" s="150">
        <v>0</v>
      </c>
      <c r="M22" s="35"/>
      <c r="N22" s="157">
        <v>1</v>
      </c>
      <c r="O22" s="157">
        <v>3</v>
      </c>
      <c r="P22" s="157">
        <f t="shared" si="1"/>
        <v>4</v>
      </c>
    </row>
    <row r="23" spans="1:16" ht="15">
      <c r="A23" s="144" t="s">
        <v>72</v>
      </c>
      <c r="B23" s="153" t="s">
        <v>36</v>
      </c>
      <c r="C23" s="159" t="s">
        <v>73</v>
      </c>
      <c r="D23" s="160" t="s">
        <v>32</v>
      </c>
      <c r="E23" s="156">
        <v>33</v>
      </c>
      <c r="F23" s="167">
        <v>30</v>
      </c>
      <c r="G23" s="157">
        <v>0.96</v>
      </c>
      <c r="H23" s="157">
        <v>1</v>
      </c>
      <c r="I23" s="170">
        <f t="shared" si="0"/>
        <v>31.68</v>
      </c>
      <c r="J23" s="171">
        <v>-1</v>
      </c>
      <c r="K23" s="170">
        <v>31</v>
      </c>
      <c r="L23" s="150">
        <v>35</v>
      </c>
      <c r="M23" s="35"/>
      <c r="N23" s="157">
        <v>29</v>
      </c>
      <c r="O23" s="157">
        <v>2</v>
      </c>
      <c r="P23" s="157">
        <f t="shared" si="1"/>
        <v>31</v>
      </c>
    </row>
    <row r="24" spans="1:16" ht="15" thickBot="1">
      <c r="A24" s="146" t="s">
        <v>74</v>
      </c>
      <c r="B24" s="153" t="s">
        <v>30</v>
      </c>
      <c r="C24" s="159" t="s">
        <v>75</v>
      </c>
      <c r="D24" s="160" t="s">
        <v>32</v>
      </c>
      <c r="E24" s="156">
        <v>0</v>
      </c>
      <c r="F24" s="167">
        <v>4</v>
      </c>
      <c r="G24" s="157">
        <v>0.96</v>
      </c>
      <c r="H24" s="157">
        <v>1.75</v>
      </c>
      <c r="I24" s="170">
        <f t="shared" si="0"/>
        <v>0</v>
      </c>
      <c r="J24" s="171">
        <v>4</v>
      </c>
      <c r="K24" s="170">
        <v>4</v>
      </c>
      <c r="L24" s="150">
        <v>0</v>
      </c>
      <c r="M24" s="35"/>
      <c r="N24" s="157">
        <v>4</v>
      </c>
      <c r="O24" s="157"/>
      <c r="P24" s="157">
        <f t="shared" si="1"/>
        <v>4</v>
      </c>
    </row>
    <row r="25" spans="1:16" ht="15">
      <c r="A25" s="144" t="s">
        <v>76</v>
      </c>
      <c r="B25" s="153" t="s">
        <v>36</v>
      </c>
      <c r="C25" s="159" t="s">
        <v>77</v>
      </c>
      <c r="D25" s="160" t="s">
        <v>32</v>
      </c>
      <c r="E25" s="156">
        <v>17</v>
      </c>
      <c r="F25" s="167">
        <v>18</v>
      </c>
      <c r="G25" s="157">
        <v>0.7</v>
      </c>
      <c r="H25" s="157">
        <v>0.75</v>
      </c>
      <c r="I25" s="170">
        <f t="shared" si="0"/>
        <v>11.899999999999999</v>
      </c>
      <c r="J25" s="171">
        <v>-1</v>
      </c>
      <c r="K25" s="170">
        <v>11</v>
      </c>
      <c r="L25" s="150">
        <v>25</v>
      </c>
      <c r="M25" s="35"/>
      <c r="N25" s="157">
        <v>13</v>
      </c>
      <c r="O25" s="157"/>
      <c r="P25" s="157">
        <f t="shared" si="1"/>
        <v>13</v>
      </c>
    </row>
    <row r="26" spans="1:16" ht="15" thickBot="1">
      <c r="A26" s="146" t="s">
        <v>76</v>
      </c>
      <c r="B26" s="153" t="s">
        <v>36</v>
      </c>
      <c r="C26" s="159" t="s">
        <v>78</v>
      </c>
      <c r="D26" s="160" t="s">
        <v>53</v>
      </c>
      <c r="E26" s="156">
        <v>8</v>
      </c>
      <c r="F26" s="167">
        <v>8</v>
      </c>
      <c r="G26" s="157">
        <v>1.75</v>
      </c>
      <c r="H26" s="157">
        <v>2.2</v>
      </c>
      <c r="I26" s="170">
        <f t="shared" si="0"/>
        <v>14</v>
      </c>
      <c r="J26" s="171">
        <v>2</v>
      </c>
      <c r="K26" s="170">
        <v>16</v>
      </c>
      <c r="L26" s="150">
        <v>0</v>
      </c>
      <c r="M26" s="35"/>
      <c r="N26" s="157">
        <v>14</v>
      </c>
      <c r="O26" s="157">
        <v>2</v>
      </c>
      <c r="P26" s="157">
        <f t="shared" si="1"/>
        <v>16</v>
      </c>
    </row>
    <row r="27" spans="1:16" ht="15">
      <c r="A27" s="147" t="s">
        <v>79</v>
      </c>
      <c r="B27" s="153" t="s">
        <v>30</v>
      </c>
      <c r="C27" s="159" t="s">
        <v>80</v>
      </c>
      <c r="D27" s="155" t="s">
        <v>32</v>
      </c>
      <c r="E27" s="156">
        <v>13</v>
      </c>
      <c r="F27" s="167">
        <v>13</v>
      </c>
      <c r="G27" s="157">
        <v>0.61</v>
      </c>
      <c r="H27" s="157">
        <v>0.7</v>
      </c>
      <c r="I27" s="170">
        <f t="shared" si="0"/>
        <v>7.93</v>
      </c>
      <c r="J27" s="171">
        <v>1</v>
      </c>
      <c r="K27" s="170">
        <v>9</v>
      </c>
      <c r="L27" s="150">
        <v>7</v>
      </c>
      <c r="M27" s="35"/>
      <c r="N27" s="157">
        <v>8</v>
      </c>
      <c r="O27" s="157">
        <v>1</v>
      </c>
      <c r="P27" s="157">
        <f t="shared" si="1"/>
        <v>9</v>
      </c>
    </row>
    <row r="28" spans="1:16" ht="15" thickBot="1">
      <c r="A28" s="143" t="s">
        <v>81</v>
      </c>
      <c r="B28" s="153" t="s">
        <v>36</v>
      </c>
      <c r="C28" s="159" t="s">
        <v>82</v>
      </c>
      <c r="D28" s="160" t="s">
        <v>32</v>
      </c>
      <c r="E28" s="156">
        <v>10</v>
      </c>
      <c r="F28" s="167">
        <v>11</v>
      </c>
      <c r="G28" s="157">
        <v>0.68</v>
      </c>
      <c r="H28" s="157">
        <v>0.75</v>
      </c>
      <c r="I28" s="170">
        <f t="shared" si="0"/>
        <v>6.800000000000001</v>
      </c>
      <c r="J28" s="171">
        <v>5</v>
      </c>
      <c r="K28" s="170">
        <v>12</v>
      </c>
      <c r="L28" s="150">
        <v>13</v>
      </c>
      <c r="M28" s="35"/>
      <c r="N28" s="157">
        <v>8</v>
      </c>
      <c r="O28" s="157">
        <v>4</v>
      </c>
      <c r="P28" s="157">
        <f t="shared" si="1"/>
        <v>12</v>
      </c>
    </row>
    <row r="29" spans="1:16" ht="15">
      <c r="A29" s="144" t="s">
        <v>83</v>
      </c>
      <c r="B29" s="153" t="s">
        <v>36</v>
      </c>
      <c r="C29" s="159" t="s">
        <v>84</v>
      </c>
      <c r="D29" s="160" t="s">
        <v>32</v>
      </c>
      <c r="E29" s="156">
        <v>26</v>
      </c>
      <c r="F29" s="167">
        <v>34</v>
      </c>
      <c r="G29" s="157">
        <v>0.6</v>
      </c>
      <c r="H29" s="157">
        <v>0.66</v>
      </c>
      <c r="I29" s="170">
        <f t="shared" si="0"/>
        <v>15.6</v>
      </c>
      <c r="J29" s="171">
        <v>9</v>
      </c>
      <c r="K29" s="170">
        <v>25</v>
      </c>
      <c r="L29" s="150">
        <v>25</v>
      </c>
      <c r="M29" s="35"/>
      <c r="N29" s="157">
        <v>21</v>
      </c>
      <c r="O29" s="157">
        <v>4</v>
      </c>
      <c r="P29" s="157">
        <f t="shared" si="1"/>
        <v>25</v>
      </c>
    </row>
    <row r="30" spans="1:16" ht="15" thickBot="1">
      <c r="A30" s="146" t="s">
        <v>83</v>
      </c>
      <c r="B30" s="153" t="s">
        <v>30</v>
      </c>
      <c r="C30" s="159" t="s">
        <v>85</v>
      </c>
      <c r="D30" s="160" t="s">
        <v>53</v>
      </c>
      <c r="E30" s="156">
        <v>0</v>
      </c>
      <c r="F30" s="167">
        <v>6</v>
      </c>
      <c r="G30" s="157">
        <v>0.6</v>
      </c>
      <c r="H30" s="157">
        <v>0.66</v>
      </c>
      <c r="I30" s="170">
        <f t="shared" si="0"/>
        <v>0</v>
      </c>
      <c r="J30" s="171"/>
      <c r="K30" s="170">
        <v>0</v>
      </c>
      <c r="L30" s="150">
        <v>0</v>
      </c>
      <c r="M30" s="35"/>
      <c r="N30" s="157">
        <v>4</v>
      </c>
      <c r="O30" s="157"/>
      <c r="P30" s="157">
        <f t="shared" si="1"/>
        <v>4</v>
      </c>
    </row>
    <row r="31" spans="1:16" ht="15">
      <c r="A31" s="147" t="s">
        <v>86</v>
      </c>
      <c r="B31" s="153" t="s">
        <v>36</v>
      </c>
      <c r="C31" s="159" t="s">
        <v>87</v>
      </c>
      <c r="D31" s="160" t="s">
        <v>32</v>
      </c>
      <c r="E31" s="156">
        <v>12</v>
      </c>
      <c r="F31" s="167">
        <v>10</v>
      </c>
      <c r="G31" s="157">
        <v>0.66</v>
      </c>
      <c r="H31" s="157">
        <v>0.66</v>
      </c>
      <c r="I31" s="170">
        <f t="shared" si="0"/>
        <v>7.92</v>
      </c>
      <c r="J31" s="171">
        <v>8</v>
      </c>
      <c r="K31" s="170">
        <v>16</v>
      </c>
      <c r="L31" s="150">
        <v>16</v>
      </c>
      <c r="M31" s="35"/>
      <c r="N31" s="157">
        <v>3</v>
      </c>
      <c r="O31" s="157">
        <v>13</v>
      </c>
      <c r="P31" s="157">
        <f t="shared" si="1"/>
        <v>16</v>
      </c>
    </row>
    <row r="32" spans="1:16" ht="15">
      <c r="A32" s="36" t="s">
        <v>86</v>
      </c>
      <c r="B32" s="153" t="s">
        <v>36</v>
      </c>
      <c r="C32" s="159" t="s">
        <v>88</v>
      </c>
      <c r="D32" s="160" t="s">
        <v>32</v>
      </c>
      <c r="E32" s="156">
        <v>34</v>
      </c>
      <c r="F32" s="167">
        <v>30</v>
      </c>
      <c r="G32" s="157">
        <v>0.66</v>
      </c>
      <c r="H32" s="157">
        <v>0.66</v>
      </c>
      <c r="I32" s="170">
        <f t="shared" si="0"/>
        <v>22.44</v>
      </c>
      <c r="J32" s="171">
        <v>18</v>
      </c>
      <c r="K32" s="170">
        <v>40</v>
      </c>
      <c r="L32" s="150">
        <v>40</v>
      </c>
      <c r="M32" s="35"/>
      <c r="N32" s="157">
        <v>20</v>
      </c>
      <c r="O32" s="157">
        <v>20</v>
      </c>
      <c r="P32" s="157">
        <f t="shared" si="1"/>
        <v>40</v>
      </c>
    </row>
    <row r="33" spans="1:16" ht="15" thickBot="1">
      <c r="A33" s="143" t="s">
        <v>90</v>
      </c>
      <c r="B33" s="153" t="s">
        <v>36</v>
      </c>
      <c r="C33" s="159" t="s">
        <v>91</v>
      </c>
      <c r="D33" s="160" t="s">
        <v>32</v>
      </c>
      <c r="E33" s="156">
        <v>18</v>
      </c>
      <c r="F33" s="167">
        <v>11</v>
      </c>
      <c r="G33" s="157">
        <v>0.6</v>
      </c>
      <c r="H33" s="157">
        <v>0.75</v>
      </c>
      <c r="I33" s="170">
        <f t="shared" si="0"/>
        <v>10.799999999999999</v>
      </c>
      <c r="J33" s="171">
        <v>4</v>
      </c>
      <c r="K33" s="170">
        <v>15</v>
      </c>
      <c r="L33" s="150">
        <v>15</v>
      </c>
      <c r="M33" s="35"/>
      <c r="N33" s="157">
        <v>7</v>
      </c>
      <c r="O33" s="157">
        <v>8</v>
      </c>
      <c r="P33" s="157">
        <f t="shared" si="1"/>
        <v>15</v>
      </c>
    </row>
    <row r="34" spans="1:16" ht="15">
      <c r="A34" s="144" t="s">
        <v>92</v>
      </c>
      <c r="B34" s="153" t="s">
        <v>30</v>
      </c>
      <c r="C34" s="159" t="s">
        <v>93</v>
      </c>
      <c r="D34" s="155" t="s">
        <v>32</v>
      </c>
      <c r="E34" s="156">
        <v>30</v>
      </c>
      <c r="F34" s="167">
        <v>22</v>
      </c>
      <c r="G34" s="157">
        <v>0.7</v>
      </c>
      <c r="H34" s="157">
        <v>0.75</v>
      </c>
      <c r="I34" s="170">
        <f t="shared" si="0"/>
        <v>21</v>
      </c>
      <c r="J34" s="171">
        <v>1</v>
      </c>
      <c r="K34" s="170">
        <v>22</v>
      </c>
      <c r="L34" s="150">
        <v>21</v>
      </c>
      <c r="M34" s="35"/>
      <c r="N34" s="157">
        <v>16</v>
      </c>
      <c r="O34" s="157">
        <v>6</v>
      </c>
      <c r="P34" s="157">
        <f t="shared" si="1"/>
        <v>22</v>
      </c>
    </row>
    <row r="35" spans="1:16" ht="15">
      <c r="A35" s="145" t="s">
        <v>92</v>
      </c>
      <c r="B35" s="153" t="s">
        <v>30</v>
      </c>
      <c r="C35" s="159" t="s">
        <v>94</v>
      </c>
      <c r="D35" s="155" t="s">
        <v>32</v>
      </c>
      <c r="E35" s="156">
        <v>20</v>
      </c>
      <c r="F35" s="167">
        <v>20</v>
      </c>
      <c r="G35" s="157">
        <v>0.7</v>
      </c>
      <c r="H35" s="157">
        <v>0.75</v>
      </c>
      <c r="I35" s="170">
        <f t="shared" si="0"/>
        <v>14</v>
      </c>
      <c r="J35" s="171">
        <v>-1</v>
      </c>
      <c r="K35" s="170">
        <v>13</v>
      </c>
      <c r="L35" s="150">
        <v>9</v>
      </c>
      <c r="M35" s="35"/>
      <c r="N35" s="157">
        <v>14</v>
      </c>
      <c r="O35" s="157">
        <v>1</v>
      </c>
      <c r="P35" s="157">
        <f t="shared" si="1"/>
        <v>15</v>
      </c>
    </row>
    <row r="36" spans="1:16" ht="15" thickBot="1">
      <c r="A36" s="146" t="s">
        <v>92</v>
      </c>
      <c r="B36" s="153" t="s">
        <v>30</v>
      </c>
      <c r="C36" s="159" t="s">
        <v>95</v>
      </c>
      <c r="D36" s="155" t="s">
        <v>32</v>
      </c>
      <c r="E36" s="156">
        <v>32</v>
      </c>
      <c r="F36" s="167">
        <v>29</v>
      </c>
      <c r="G36" s="157">
        <v>0.7</v>
      </c>
      <c r="H36" s="157">
        <v>0.75</v>
      </c>
      <c r="I36" s="170">
        <f t="shared" si="0"/>
        <v>22.4</v>
      </c>
      <c r="J36" s="171">
        <v>4</v>
      </c>
      <c r="K36" s="170">
        <v>26</v>
      </c>
      <c r="L36" s="150">
        <v>26</v>
      </c>
      <c r="M36" s="35"/>
      <c r="N36" s="157">
        <v>20</v>
      </c>
      <c r="O36" s="157">
        <v>6</v>
      </c>
      <c r="P36" s="157">
        <f t="shared" si="1"/>
        <v>26</v>
      </c>
    </row>
    <row r="37" spans="1:16" ht="15">
      <c r="A37" s="144" t="s">
        <v>96</v>
      </c>
      <c r="B37" s="153" t="s">
        <v>36</v>
      </c>
      <c r="C37" s="159" t="s">
        <v>97</v>
      </c>
      <c r="D37" s="160" t="s">
        <v>32</v>
      </c>
      <c r="E37" s="156">
        <v>26</v>
      </c>
      <c r="F37" s="167">
        <v>24</v>
      </c>
      <c r="G37" s="157">
        <v>0.68</v>
      </c>
      <c r="H37" s="157">
        <v>0.75</v>
      </c>
      <c r="I37" s="170">
        <f t="shared" si="0"/>
        <v>17.68</v>
      </c>
      <c r="J37" s="171">
        <v>5</v>
      </c>
      <c r="K37" s="170">
        <v>23</v>
      </c>
      <c r="L37" s="150">
        <v>23</v>
      </c>
      <c r="M37" s="35"/>
      <c r="N37" s="157">
        <v>17</v>
      </c>
      <c r="O37" s="157">
        <v>6</v>
      </c>
      <c r="P37" s="157">
        <f t="shared" si="1"/>
        <v>23</v>
      </c>
    </row>
    <row r="38" spans="1:17" ht="15">
      <c r="A38" s="147" t="s">
        <v>49</v>
      </c>
      <c r="B38" s="153" t="s">
        <v>36</v>
      </c>
      <c r="C38" s="159" t="s">
        <v>98</v>
      </c>
      <c r="D38" s="160" t="s">
        <v>32</v>
      </c>
      <c r="E38" s="156">
        <v>24</v>
      </c>
      <c r="F38" s="167">
        <v>34</v>
      </c>
      <c r="G38" s="157">
        <v>1.75</v>
      </c>
      <c r="H38" s="157">
        <v>2.2</v>
      </c>
      <c r="I38" s="170">
        <f t="shared" si="0"/>
        <v>42</v>
      </c>
      <c r="J38" s="171">
        <v>28</v>
      </c>
      <c r="K38" s="170">
        <v>70</v>
      </c>
      <c r="L38" s="150">
        <v>63</v>
      </c>
      <c r="M38" s="35"/>
      <c r="N38" s="157">
        <v>60</v>
      </c>
      <c r="O38" s="209">
        <f>10+5</f>
        <v>15</v>
      </c>
      <c r="P38" s="157">
        <f t="shared" si="1"/>
        <v>75</v>
      </c>
      <c r="Q38" s="211"/>
    </row>
    <row r="39" spans="1:16" ht="15">
      <c r="A39" s="36" t="s">
        <v>99</v>
      </c>
      <c r="B39" s="153" t="s">
        <v>36</v>
      </c>
      <c r="C39" s="159" t="s">
        <v>100</v>
      </c>
      <c r="D39" s="160" t="s">
        <v>32</v>
      </c>
      <c r="E39" s="156">
        <v>17</v>
      </c>
      <c r="F39" s="167">
        <v>24</v>
      </c>
      <c r="G39" s="157">
        <v>0.96</v>
      </c>
      <c r="H39" s="157">
        <v>1.75</v>
      </c>
      <c r="I39" s="170">
        <f t="shared" si="0"/>
        <v>16.32</v>
      </c>
      <c r="J39" s="171">
        <v>16</v>
      </c>
      <c r="K39" s="170">
        <v>32</v>
      </c>
      <c r="L39" s="150">
        <v>32</v>
      </c>
      <c r="M39" s="35"/>
      <c r="N39" s="157">
        <v>23</v>
      </c>
      <c r="O39" s="157">
        <v>9</v>
      </c>
      <c r="P39" s="157">
        <f t="shared" si="1"/>
        <v>32</v>
      </c>
    </row>
    <row r="40" spans="1:16" ht="15">
      <c r="A40" s="36" t="s">
        <v>101</v>
      </c>
      <c r="B40" s="153" t="s">
        <v>30</v>
      </c>
      <c r="C40" s="159" t="s">
        <v>102</v>
      </c>
      <c r="D40" s="160" t="s">
        <v>32</v>
      </c>
      <c r="E40" s="156">
        <v>6</v>
      </c>
      <c r="F40" s="167">
        <v>10</v>
      </c>
      <c r="G40" s="157">
        <v>1.75</v>
      </c>
      <c r="H40" s="157">
        <v>2.2</v>
      </c>
      <c r="I40" s="170">
        <f t="shared" si="0"/>
        <v>10.5</v>
      </c>
      <c r="J40" s="171">
        <v>6</v>
      </c>
      <c r="K40" s="170">
        <v>17</v>
      </c>
      <c r="L40" s="150">
        <v>15</v>
      </c>
      <c r="M40" s="35"/>
      <c r="N40" s="157">
        <v>18</v>
      </c>
      <c r="O40" s="157">
        <v>4</v>
      </c>
      <c r="P40" s="157">
        <f t="shared" si="1"/>
        <v>22</v>
      </c>
    </row>
    <row r="41" spans="1:16" ht="15" thickBot="1">
      <c r="A41" s="143" t="s">
        <v>101</v>
      </c>
      <c r="B41" s="153" t="s">
        <v>36</v>
      </c>
      <c r="C41" s="159" t="s">
        <v>103</v>
      </c>
      <c r="D41" s="161" t="s">
        <v>32</v>
      </c>
      <c r="E41" s="138">
        <v>0</v>
      </c>
      <c r="F41" s="167">
        <v>0</v>
      </c>
      <c r="G41" s="139"/>
      <c r="H41" s="139"/>
      <c r="I41" s="170">
        <f t="shared" si="0"/>
        <v>0</v>
      </c>
      <c r="J41" s="171">
        <v>36</v>
      </c>
      <c r="K41" s="170">
        <v>36</v>
      </c>
      <c r="L41" s="150">
        <v>20</v>
      </c>
      <c r="M41" s="35"/>
      <c r="N41" s="157">
        <v>36</v>
      </c>
      <c r="O41" s="157"/>
      <c r="P41" s="157">
        <f t="shared" si="1"/>
        <v>36</v>
      </c>
    </row>
    <row r="42" spans="1:16" ht="15">
      <c r="A42" s="144" t="s">
        <v>104</v>
      </c>
      <c r="B42" s="153" t="s">
        <v>36</v>
      </c>
      <c r="C42" s="159" t="s">
        <v>105</v>
      </c>
      <c r="D42" s="160" t="s">
        <v>32</v>
      </c>
      <c r="E42" s="156">
        <v>23</v>
      </c>
      <c r="F42" s="167">
        <v>10</v>
      </c>
      <c r="G42" s="157">
        <v>1.75</v>
      </c>
      <c r="H42" s="157">
        <v>2.2</v>
      </c>
      <c r="I42" s="170">
        <f t="shared" si="0"/>
        <v>40.25</v>
      </c>
      <c r="J42" s="171">
        <v>3</v>
      </c>
      <c r="K42" s="170">
        <v>43</v>
      </c>
      <c r="L42" s="150">
        <v>19</v>
      </c>
      <c r="M42" s="35"/>
      <c r="N42" s="157">
        <v>18</v>
      </c>
      <c r="O42" s="157">
        <v>25</v>
      </c>
      <c r="P42" s="157">
        <f t="shared" si="1"/>
        <v>43</v>
      </c>
    </row>
    <row r="43" spans="1:16" ht="15">
      <c r="A43" s="145" t="s">
        <v>33</v>
      </c>
      <c r="B43" s="153" t="s">
        <v>36</v>
      </c>
      <c r="C43" s="159" t="s">
        <v>106</v>
      </c>
      <c r="D43" s="160" t="s">
        <v>38</v>
      </c>
      <c r="E43" s="156">
        <v>10</v>
      </c>
      <c r="F43" s="167">
        <v>30</v>
      </c>
      <c r="G43" s="157">
        <v>0.7</v>
      </c>
      <c r="H43" s="157">
        <v>0.75</v>
      </c>
      <c r="I43" s="170">
        <f t="shared" si="0"/>
        <v>7</v>
      </c>
      <c r="J43" s="171">
        <v>5</v>
      </c>
      <c r="K43" s="170">
        <v>12</v>
      </c>
      <c r="L43" s="150">
        <v>22</v>
      </c>
      <c r="M43" s="35"/>
      <c r="N43" s="157">
        <v>21</v>
      </c>
      <c r="O43" s="157"/>
      <c r="P43" s="157">
        <f t="shared" si="1"/>
        <v>21</v>
      </c>
    </row>
    <row r="44" spans="1:16" ht="15" thickBot="1">
      <c r="A44" s="146" t="s">
        <v>107</v>
      </c>
      <c r="B44" s="153" t="s">
        <v>36</v>
      </c>
      <c r="C44" s="159" t="s">
        <v>108</v>
      </c>
      <c r="D44" s="160" t="s">
        <v>38</v>
      </c>
      <c r="E44" s="156">
        <v>0</v>
      </c>
      <c r="F44" s="167">
        <v>0</v>
      </c>
      <c r="G44" s="157"/>
      <c r="H44" s="157"/>
      <c r="I44" s="170">
        <f t="shared" si="0"/>
        <v>0</v>
      </c>
      <c r="J44" s="171">
        <v>12</v>
      </c>
      <c r="K44" s="170">
        <v>12</v>
      </c>
      <c r="L44" s="150">
        <v>12</v>
      </c>
      <c r="M44" s="35"/>
      <c r="N44" s="157">
        <v>12</v>
      </c>
      <c r="O44" s="157"/>
      <c r="P44" s="157">
        <f t="shared" si="1"/>
        <v>12</v>
      </c>
    </row>
    <row r="45" spans="1:16" ht="15">
      <c r="A45" s="147" t="s">
        <v>109</v>
      </c>
      <c r="B45" s="153" t="s">
        <v>36</v>
      </c>
      <c r="C45" s="159" t="s">
        <v>110</v>
      </c>
      <c r="D45" s="155" t="s">
        <v>32</v>
      </c>
      <c r="E45" s="156">
        <v>16</v>
      </c>
      <c r="F45" s="167">
        <v>24</v>
      </c>
      <c r="G45" s="157">
        <v>0.66</v>
      </c>
      <c r="H45" s="157">
        <v>0.75</v>
      </c>
      <c r="I45" s="170">
        <f t="shared" si="0"/>
        <v>10.56</v>
      </c>
      <c r="J45" s="171">
        <v>68</v>
      </c>
      <c r="K45" s="170">
        <v>79</v>
      </c>
      <c r="L45" s="150">
        <v>77</v>
      </c>
      <c r="M45" s="35"/>
      <c r="N45" s="157">
        <v>16</v>
      </c>
      <c r="O45" s="209">
        <f>68+6</f>
        <v>74</v>
      </c>
      <c r="P45" s="157">
        <f t="shared" si="1"/>
        <v>90</v>
      </c>
    </row>
    <row r="46" spans="1:17" ht="15">
      <c r="A46" s="36" t="s">
        <v>109</v>
      </c>
      <c r="B46" s="153" t="s">
        <v>30</v>
      </c>
      <c r="C46" s="159" t="s">
        <v>111</v>
      </c>
      <c r="D46" s="160" t="s">
        <v>32</v>
      </c>
      <c r="E46" s="156">
        <v>10</v>
      </c>
      <c r="F46" s="167">
        <v>10</v>
      </c>
      <c r="G46" s="157">
        <v>0.66</v>
      </c>
      <c r="H46" s="157">
        <v>0.75</v>
      </c>
      <c r="I46" s="170">
        <f t="shared" si="0"/>
        <v>6.6000000000000005</v>
      </c>
      <c r="J46" s="171">
        <v>44</v>
      </c>
      <c r="K46" s="170">
        <v>51</v>
      </c>
      <c r="L46" s="150">
        <v>41</v>
      </c>
      <c r="M46" s="35"/>
      <c r="N46" s="157">
        <v>7</v>
      </c>
      <c r="O46" s="157">
        <f>44+5</f>
        <v>49</v>
      </c>
      <c r="P46" s="157">
        <f t="shared" si="1"/>
        <v>56</v>
      </c>
      <c r="Q46" s="210"/>
    </row>
    <row r="47" spans="1:16" ht="15">
      <c r="A47" s="36" t="s">
        <v>112</v>
      </c>
      <c r="B47" s="153" t="s">
        <v>36</v>
      </c>
      <c r="C47" s="159" t="s">
        <v>113</v>
      </c>
      <c r="D47" s="160" t="s">
        <v>32</v>
      </c>
      <c r="E47" s="156">
        <v>39</v>
      </c>
      <c r="F47" s="167">
        <v>36</v>
      </c>
      <c r="G47" s="157">
        <v>0.7</v>
      </c>
      <c r="H47" s="157">
        <v>0.75</v>
      </c>
      <c r="I47" s="170">
        <f t="shared" si="0"/>
        <v>27.299999999999997</v>
      </c>
      <c r="J47" s="171">
        <v>-7</v>
      </c>
      <c r="K47" s="170">
        <v>20</v>
      </c>
      <c r="L47" s="150">
        <v>20</v>
      </c>
      <c r="M47" s="35"/>
      <c r="N47" s="157">
        <v>25</v>
      </c>
      <c r="O47" s="157"/>
      <c r="P47" s="157">
        <f t="shared" si="1"/>
        <v>25</v>
      </c>
    </row>
    <row r="48" spans="1:16" ht="15">
      <c r="A48" s="36" t="s">
        <v>114</v>
      </c>
      <c r="B48" s="162" t="s">
        <v>36</v>
      </c>
      <c r="C48" s="159" t="s">
        <v>115</v>
      </c>
      <c r="D48" s="160" t="s">
        <v>32</v>
      </c>
      <c r="E48" s="138">
        <v>16</v>
      </c>
      <c r="F48" s="167">
        <v>17</v>
      </c>
      <c r="G48" s="139">
        <v>0.56</v>
      </c>
      <c r="H48" s="139">
        <v>0.7</v>
      </c>
      <c r="I48" s="170">
        <f t="shared" si="0"/>
        <v>8.96</v>
      </c>
      <c r="J48" s="171">
        <v>6</v>
      </c>
      <c r="K48" s="170">
        <v>15</v>
      </c>
      <c r="L48" s="150">
        <v>15</v>
      </c>
      <c r="M48" s="35"/>
      <c r="N48" s="157">
        <v>10</v>
      </c>
      <c r="O48" s="157">
        <v>5</v>
      </c>
      <c r="P48" s="157">
        <f t="shared" si="1"/>
        <v>15</v>
      </c>
    </row>
    <row r="49" spans="1:16" ht="15">
      <c r="A49" s="36" t="s">
        <v>116</v>
      </c>
      <c r="B49" s="153" t="s">
        <v>36</v>
      </c>
      <c r="C49" s="159" t="s">
        <v>117</v>
      </c>
      <c r="D49" s="160" t="s">
        <v>38</v>
      </c>
      <c r="E49" s="156">
        <v>15</v>
      </c>
      <c r="F49" s="167">
        <v>9</v>
      </c>
      <c r="G49" s="157">
        <v>0.56</v>
      </c>
      <c r="H49" s="157">
        <v>0.7</v>
      </c>
      <c r="I49" s="170">
        <f t="shared" si="0"/>
        <v>8.4</v>
      </c>
      <c r="J49" s="171">
        <v>6</v>
      </c>
      <c r="K49" s="170">
        <v>14</v>
      </c>
      <c r="L49" s="150">
        <v>14</v>
      </c>
      <c r="M49" s="35"/>
      <c r="N49" s="157">
        <v>6</v>
      </c>
      <c r="O49" s="157">
        <v>8</v>
      </c>
      <c r="P49" s="157">
        <f t="shared" si="1"/>
        <v>14</v>
      </c>
    </row>
    <row r="50" spans="1:16" ht="15">
      <c r="A50" s="36" t="s">
        <v>118</v>
      </c>
      <c r="B50" s="153" t="s">
        <v>36</v>
      </c>
      <c r="C50" s="159" t="s">
        <v>119</v>
      </c>
      <c r="D50" s="160" t="s">
        <v>32</v>
      </c>
      <c r="E50" s="138">
        <v>21</v>
      </c>
      <c r="F50" s="167">
        <v>22</v>
      </c>
      <c r="G50" s="139">
        <v>0.68</v>
      </c>
      <c r="H50" s="139">
        <v>0.75</v>
      </c>
      <c r="I50" s="170">
        <f t="shared" si="0"/>
        <v>14.280000000000001</v>
      </c>
      <c r="J50" s="171">
        <v>6</v>
      </c>
      <c r="K50" s="170">
        <v>20</v>
      </c>
      <c r="L50" s="150">
        <v>18</v>
      </c>
      <c r="M50" s="35"/>
      <c r="N50" s="157">
        <v>15</v>
      </c>
      <c r="O50" s="157">
        <v>5</v>
      </c>
      <c r="P50" s="157">
        <f t="shared" si="1"/>
        <v>20</v>
      </c>
    </row>
    <row r="51" spans="1:16" ht="15" thickBot="1">
      <c r="A51" s="143" t="s">
        <v>118</v>
      </c>
      <c r="B51" s="153" t="s">
        <v>36</v>
      </c>
      <c r="C51" s="159" t="s">
        <v>120</v>
      </c>
      <c r="D51" s="163" t="s">
        <v>38</v>
      </c>
      <c r="E51" s="138">
        <v>8</v>
      </c>
      <c r="F51" s="167">
        <v>8</v>
      </c>
      <c r="G51" s="157">
        <v>1.75</v>
      </c>
      <c r="H51" s="157">
        <v>2.2</v>
      </c>
      <c r="I51" s="170">
        <f t="shared" si="0"/>
        <v>14</v>
      </c>
      <c r="J51" s="171">
        <v>2</v>
      </c>
      <c r="K51" s="170">
        <v>16</v>
      </c>
      <c r="L51" s="150">
        <v>13</v>
      </c>
      <c r="M51" s="35"/>
      <c r="N51" s="157">
        <v>14</v>
      </c>
      <c r="O51" s="157">
        <v>2</v>
      </c>
      <c r="P51" s="157">
        <f t="shared" si="1"/>
        <v>16</v>
      </c>
    </row>
    <row r="52" spans="1:16" ht="15">
      <c r="A52" s="144" t="s">
        <v>121</v>
      </c>
      <c r="B52" s="153" t="s">
        <v>36</v>
      </c>
      <c r="C52" s="154" t="s">
        <v>122</v>
      </c>
      <c r="D52" s="155" t="s">
        <v>32</v>
      </c>
      <c r="E52" s="156">
        <v>8</v>
      </c>
      <c r="F52" s="167">
        <v>8</v>
      </c>
      <c r="G52" s="157">
        <v>1.75</v>
      </c>
      <c r="H52" s="157">
        <v>2.2</v>
      </c>
      <c r="I52" s="170">
        <f t="shared" si="0"/>
        <v>14</v>
      </c>
      <c r="J52" s="171">
        <v>5</v>
      </c>
      <c r="K52" s="170">
        <v>19</v>
      </c>
      <c r="L52" s="150">
        <v>30</v>
      </c>
      <c r="M52" s="35"/>
      <c r="N52" s="157">
        <v>14</v>
      </c>
      <c r="O52" s="157">
        <v>5</v>
      </c>
      <c r="P52" s="157">
        <f t="shared" si="1"/>
        <v>19</v>
      </c>
    </row>
    <row r="53" spans="1:16" ht="15" thickBot="1">
      <c r="A53" s="146" t="s">
        <v>123</v>
      </c>
      <c r="B53" s="153" t="s">
        <v>36</v>
      </c>
      <c r="C53" s="154" t="s">
        <v>124</v>
      </c>
      <c r="D53" s="155" t="s">
        <v>53</v>
      </c>
      <c r="E53" s="156">
        <v>11</v>
      </c>
      <c r="F53" s="167">
        <v>10</v>
      </c>
      <c r="G53" s="157">
        <v>0.96</v>
      </c>
      <c r="H53" s="157">
        <v>1.75</v>
      </c>
      <c r="I53" s="170">
        <f t="shared" si="0"/>
        <v>10.559999999999999</v>
      </c>
      <c r="J53" s="171"/>
      <c r="K53" s="170">
        <v>11</v>
      </c>
      <c r="L53" s="150">
        <v>0</v>
      </c>
      <c r="M53" s="35"/>
      <c r="N53" s="157">
        <v>10</v>
      </c>
      <c r="O53" s="157">
        <v>1</v>
      </c>
      <c r="P53" s="157">
        <f t="shared" si="1"/>
        <v>11</v>
      </c>
    </row>
    <row r="54" spans="1:16" ht="15">
      <c r="A54" s="147" t="s">
        <v>125</v>
      </c>
      <c r="B54" s="153" t="s">
        <v>30</v>
      </c>
      <c r="C54" s="159" t="s">
        <v>126</v>
      </c>
      <c r="D54" s="160" t="s">
        <v>32</v>
      </c>
      <c r="E54" s="138">
        <v>9</v>
      </c>
      <c r="F54" s="167">
        <v>9</v>
      </c>
      <c r="G54" s="139">
        <v>0.7</v>
      </c>
      <c r="H54" s="139">
        <v>0.75</v>
      </c>
      <c r="I54" s="170">
        <f t="shared" si="0"/>
        <v>6.3</v>
      </c>
      <c r="J54" s="171">
        <v>6</v>
      </c>
      <c r="K54" s="170">
        <v>12</v>
      </c>
      <c r="L54" s="150">
        <v>9</v>
      </c>
      <c r="M54" s="35"/>
      <c r="N54" s="157">
        <v>7</v>
      </c>
      <c r="O54" s="157">
        <v>5</v>
      </c>
      <c r="P54" s="157">
        <f t="shared" si="1"/>
        <v>12</v>
      </c>
    </row>
    <row r="55" spans="1:16" ht="15">
      <c r="A55" s="36" t="s">
        <v>127</v>
      </c>
      <c r="B55" s="153" t="s">
        <v>36</v>
      </c>
      <c r="C55" s="154" t="s">
        <v>128</v>
      </c>
      <c r="D55" s="163" t="s">
        <v>38</v>
      </c>
      <c r="E55" s="156">
        <v>2</v>
      </c>
      <c r="F55" s="167">
        <v>4</v>
      </c>
      <c r="G55" s="157">
        <v>1.75</v>
      </c>
      <c r="H55" s="157">
        <v>2.2</v>
      </c>
      <c r="I55" s="170">
        <v>3</v>
      </c>
      <c r="J55" s="171"/>
      <c r="K55" s="170">
        <v>3</v>
      </c>
      <c r="L55" s="150">
        <v>3</v>
      </c>
      <c r="M55" s="35"/>
      <c r="N55" s="157">
        <v>7</v>
      </c>
      <c r="O55" s="157"/>
      <c r="P55" s="157">
        <f t="shared" si="1"/>
        <v>7</v>
      </c>
    </row>
    <row r="56" spans="1:16" ht="15">
      <c r="A56" s="36" t="s">
        <v>129</v>
      </c>
      <c r="B56" s="153" t="s">
        <v>36</v>
      </c>
      <c r="C56" s="159" t="s">
        <v>130</v>
      </c>
      <c r="D56" s="160" t="s">
        <v>38</v>
      </c>
      <c r="E56" s="138">
        <v>10</v>
      </c>
      <c r="F56" s="167">
        <v>8</v>
      </c>
      <c r="G56" s="139">
        <v>0.68</v>
      </c>
      <c r="H56" s="139">
        <v>0.68</v>
      </c>
      <c r="I56" s="170">
        <f t="shared" si="0"/>
        <v>6.800000000000001</v>
      </c>
      <c r="J56" s="171"/>
      <c r="K56" s="170">
        <v>7</v>
      </c>
      <c r="L56" s="150">
        <v>6</v>
      </c>
      <c r="M56" s="35"/>
      <c r="N56" s="157">
        <v>6</v>
      </c>
      <c r="O56" s="157">
        <v>1</v>
      </c>
      <c r="P56" s="157">
        <f t="shared" si="1"/>
        <v>7</v>
      </c>
    </row>
    <row r="57" spans="1:16" ht="15">
      <c r="A57" s="36" t="s">
        <v>131</v>
      </c>
      <c r="B57" s="153" t="s">
        <v>36</v>
      </c>
      <c r="C57" s="159" t="s">
        <v>132</v>
      </c>
      <c r="D57" s="160" t="s">
        <v>38</v>
      </c>
      <c r="E57" s="156">
        <v>14</v>
      </c>
      <c r="F57" s="167">
        <v>14</v>
      </c>
      <c r="G57" s="157"/>
      <c r="H57" s="157"/>
      <c r="I57" s="170">
        <v>12</v>
      </c>
      <c r="J57" s="171"/>
      <c r="K57" s="170">
        <v>12</v>
      </c>
      <c r="L57" s="150">
        <v>10</v>
      </c>
      <c r="M57" s="35"/>
      <c r="N57" s="157">
        <f>+K57</f>
        <v>12</v>
      </c>
      <c r="O57" s="157"/>
      <c r="P57" s="157">
        <f t="shared" si="1"/>
        <v>12</v>
      </c>
    </row>
    <row r="58" spans="1:16" ht="15">
      <c r="A58" s="36" t="s">
        <v>133</v>
      </c>
      <c r="B58" s="153" t="s">
        <v>36</v>
      </c>
      <c r="C58" s="159" t="s">
        <v>134</v>
      </c>
      <c r="D58" s="161" t="s">
        <v>38</v>
      </c>
      <c r="E58" s="138">
        <v>0</v>
      </c>
      <c r="F58" s="167">
        <v>1</v>
      </c>
      <c r="G58" s="139"/>
      <c r="H58" s="139"/>
      <c r="I58" s="171">
        <v>3</v>
      </c>
      <c r="J58" s="171"/>
      <c r="K58" s="170">
        <v>3</v>
      </c>
      <c r="L58" s="150">
        <v>3</v>
      </c>
      <c r="M58" s="35"/>
      <c r="N58" s="157">
        <f aca="true" t="shared" si="2" ref="N58:N72">+K58</f>
        <v>3</v>
      </c>
      <c r="O58" s="157"/>
      <c r="P58" s="157">
        <f t="shared" si="1"/>
        <v>3</v>
      </c>
    </row>
    <row r="59" spans="1:16" ht="15">
      <c r="A59" s="36" t="s">
        <v>133</v>
      </c>
      <c r="B59" s="153" t="s">
        <v>36</v>
      </c>
      <c r="C59" s="154" t="s">
        <v>135</v>
      </c>
      <c r="D59" s="163" t="s">
        <v>38</v>
      </c>
      <c r="E59" s="156">
        <v>0</v>
      </c>
      <c r="F59" s="167">
        <v>0</v>
      </c>
      <c r="G59" s="157"/>
      <c r="H59" s="157"/>
      <c r="I59" s="171">
        <v>3</v>
      </c>
      <c r="J59" s="171"/>
      <c r="K59" s="170">
        <v>3</v>
      </c>
      <c r="L59" s="150">
        <v>3</v>
      </c>
      <c r="M59" s="35"/>
      <c r="N59" s="157">
        <f t="shared" si="2"/>
        <v>3</v>
      </c>
      <c r="O59" s="157"/>
      <c r="P59" s="157">
        <f t="shared" si="1"/>
        <v>3</v>
      </c>
    </row>
    <row r="60" spans="1:16" ht="15">
      <c r="A60" s="36" t="s">
        <v>136</v>
      </c>
      <c r="B60" s="153" t="s">
        <v>36</v>
      </c>
      <c r="C60" s="159" t="s">
        <v>137</v>
      </c>
      <c r="D60" s="160" t="s">
        <v>32</v>
      </c>
      <c r="E60" s="156">
        <v>0</v>
      </c>
      <c r="F60" s="167">
        <v>0</v>
      </c>
      <c r="G60" s="157"/>
      <c r="H60" s="157"/>
      <c r="I60" s="171">
        <v>2</v>
      </c>
      <c r="J60" s="171"/>
      <c r="K60" s="170">
        <v>2</v>
      </c>
      <c r="L60" s="150">
        <v>1</v>
      </c>
      <c r="M60" s="35"/>
      <c r="N60" s="157">
        <f t="shared" si="2"/>
        <v>2</v>
      </c>
      <c r="O60" s="157"/>
      <c r="P60" s="157">
        <f t="shared" si="1"/>
        <v>2</v>
      </c>
    </row>
    <row r="61" spans="1:16" ht="15">
      <c r="A61" s="36" t="s">
        <v>138</v>
      </c>
      <c r="B61" s="153" t="s">
        <v>36</v>
      </c>
      <c r="C61" s="154" t="s">
        <v>168</v>
      </c>
      <c r="D61" s="163" t="s">
        <v>32</v>
      </c>
      <c r="E61" s="138">
        <v>4</v>
      </c>
      <c r="F61" s="167">
        <v>1</v>
      </c>
      <c r="G61" s="139"/>
      <c r="H61" s="139"/>
      <c r="I61" s="171">
        <v>12</v>
      </c>
      <c r="J61" s="171"/>
      <c r="K61" s="170">
        <v>12</v>
      </c>
      <c r="L61" s="150">
        <v>10</v>
      </c>
      <c r="M61" s="35"/>
      <c r="N61" s="157">
        <f t="shared" si="2"/>
        <v>12</v>
      </c>
      <c r="O61" s="157"/>
      <c r="P61" s="157">
        <f t="shared" si="1"/>
        <v>12</v>
      </c>
    </row>
    <row r="62" spans="1:16" ht="15">
      <c r="A62" s="36" t="s">
        <v>140</v>
      </c>
      <c r="B62" s="153" t="s">
        <v>36</v>
      </c>
      <c r="C62" s="159" t="s">
        <v>141</v>
      </c>
      <c r="D62" s="160" t="s">
        <v>32</v>
      </c>
      <c r="E62" s="156">
        <v>0</v>
      </c>
      <c r="F62" s="167">
        <v>0</v>
      </c>
      <c r="G62" s="157"/>
      <c r="H62" s="157"/>
      <c r="I62" s="171">
        <v>5</v>
      </c>
      <c r="J62" s="171"/>
      <c r="K62" s="170">
        <v>5</v>
      </c>
      <c r="L62" s="150">
        <v>3</v>
      </c>
      <c r="M62" s="35"/>
      <c r="N62" s="157">
        <f t="shared" si="2"/>
        <v>5</v>
      </c>
      <c r="O62" s="157"/>
      <c r="P62" s="157">
        <f t="shared" si="1"/>
        <v>5</v>
      </c>
    </row>
    <row r="63" spans="1:16" ht="15">
      <c r="A63" s="36" t="s">
        <v>142</v>
      </c>
      <c r="B63" s="153" t="s">
        <v>36</v>
      </c>
      <c r="C63" s="154" t="s">
        <v>143</v>
      </c>
      <c r="D63" s="163" t="s">
        <v>32</v>
      </c>
      <c r="E63" s="156">
        <v>0</v>
      </c>
      <c r="F63" s="167">
        <v>0</v>
      </c>
      <c r="G63" s="157"/>
      <c r="H63" s="157"/>
      <c r="I63" s="171">
        <v>14</v>
      </c>
      <c r="J63" s="171"/>
      <c r="K63" s="170">
        <v>14</v>
      </c>
      <c r="L63" s="150">
        <v>18</v>
      </c>
      <c r="M63" s="35"/>
      <c r="N63" s="157">
        <f t="shared" si="2"/>
        <v>14</v>
      </c>
      <c r="O63" s="157"/>
      <c r="P63" s="157">
        <f t="shared" si="1"/>
        <v>14</v>
      </c>
    </row>
    <row r="64" spans="1:16" ht="15">
      <c r="A64" s="36" t="s">
        <v>142</v>
      </c>
      <c r="B64" s="153" t="s">
        <v>36</v>
      </c>
      <c r="C64" s="159" t="s">
        <v>144</v>
      </c>
      <c r="D64" s="160" t="s">
        <v>32</v>
      </c>
      <c r="E64" s="156">
        <v>0</v>
      </c>
      <c r="F64" s="167">
        <v>2</v>
      </c>
      <c r="G64" s="157"/>
      <c r="H64" s="157"/>
      <c r="I64" s="171">
        <v>4</v>
      </c>
      <c r="J64" s="171"/>
      <c r="K64" s="170">
        <v>4</v>
      </c>
      <c r="L64" s="150">
        <v>0</v>
      </c>
      <c r="M64" s="35"/>
      <c r="N64" s="157">
        <f t="shared" si="2"/>
        <v>4</v>
      </c>
      <c r="O64" s="157"/>
      <c r="P64" s="157">
        <f t="shared" si="1"/>
        <v>4</v>
      </c>
    </row>
    <row r="65" spans="1:16" ht="15">
      <c r="A65" s="36" t="s">
        <v>142</v>
      </c>
      <c r="B65" s="153" t="s">
        <v>30</v>
      </c>
      <c r="C65" s="154" t="s">
        <v>145</v>
      </c>
      <c r="D65" s="155" t="s">
        <v>32</v>
      </c>
      <c r="E65" s="138">
        <v>0</v>
      </c>
      <c r="F65" s="167">
        <v>0</v>
      </c>
      <c r="G65" s="139"/>
      <c r="H65" s="139"/>
      <c r="I65" s="171">
        <v>10</v>
      </c>
      <c r="J65" s="171"/>
      <c r="K65" s="170">
        <v>10</v>
      </c>
      <c r="L65" s="150">
        <v>10</v>
      </c>
      <c r="M65" s="35"/>
      <c r="N65" s="157">
        <f t="shared" si="2"/>
        <v>10</v>
      </c>
      <c r="O65" s="157"/>
      <c r="P65" s="157">
        <f t="shared" si="1"/>
        <v>10</v>
      </c>
    </row>
    <row r="66" spans="1:16" ht="15">
      <c r="A66" s="36" t="s">
        <v>146</v>
      </c>
      <c r="B66" s="153" t="s">
        <v>36</v>
      </c>
      <c r="C66" s="159" t="s">
        <v>147</v>
      </c>
      <c r="D66" s="160" t="s">
        <v>32</v>
      </c>
      <c r="E66" s="156">
        <v>0</v>
      </c>
      <c r="F66" s="167">
        <v>0</v>
      </c>
      <c r="G66" s="157"/>
      <c r="H66" s="157"/>
      <c r="I66" s="171">
        <v>5</v>
      </c>
      <c r="J66" s="171"/>
      <c r="K66" s="170">
        <v>5</v>
      </c>
      <c r="L66" s="150">
        <v>5</v>
      </c>
      <c r="M66" s="35"/>
      <c r="N66" s="157">
        <f t="shared" si="2"/>
        <v>5</v>
      </c>
      <c r="O66" s="157"/>
      <c r="P66" s="157">
        <f t="shared" si="1"/>
        <v>5</v>
      </c>
    </row>
    <row r="67" spans="1:16" ht="15">
      <c r="A67" s="36" t="s">
        <v>148</v>
      </c>
      <c r="B67" s="153" t="s">
        <v>36</v>
      </c>
      <c r="C67" s="159" t="s">
        <v>149</v>
      </c>
      <c r="D67" s="160" t="s">
        <v>32</v>
      </c>
      <c r="E67" s="156">
        <v>0</v>
      </c>
      <c r="F67" s="167">
        <v>0</v>
      </c>
      <c r="G67" s="157"/>
      <c r="H67" s="157"/>
      <c r="I67" s="171">
        <v>4</v>
      </c>
      <c r="J67" s="171"/>
      <c r="K67" s="170">
        <v>4</v>
      </c>
      <c r="L67" s="150">
        <v>4</v>
      </c>
      <c r="M67" s="35"/>
      <c r="N67" s="157">
        <f t="shared" si="2"/>
        <v>4</v>
      </c>
      <c r="O67" s="157"/>
      <c r="P67" s="157">
        <f aca="true" t="shared" si="3" ref="P67:P76">+N67+O67</f>
        <v>4</v>
      </c>
    </row>
    <row r="68" spans="1:16" ht="15">
      <c r="A68" s="36" t="s">
        <v>150</v>
      </c>
      <c r="B68" s="153" t="s">
        <v>36</v>
      </c>
      <c r="C68" s="159" t="s">
        <v>151</v>
      </c>
      <c r="D68" s="160" t="s">
        <v>32</v>
      </c>
      <c r="E68" s="156">
        <v>0</v>
      </c>
      <c r="F68" s="167">
        <v>0</v>
      </c>
      <c r="G68" s="157"/>
      <c r="H68" s="157"/>
      <c r="I68" s="171">
        <v>8</v>
      </c>
      <c r="J68" s="171"/>
      <c r="K68" s="170">
        <v>8</v>
      </c>
      <c r="L68" s="150">
        <v>7</v>
      </c>
      <c r="M68" s="35"/>
      <c r="N68" s="157">
        <f t="shared" si="2"/>
        <v>8</v>
      </c>
      <c r="O68" s="157"/>
      <c r="P68" s="157">
        <f t="shared" si="3"/>
        <v>8</v>
      </c>
    </row>
    <row r="69" spans="1:16" ht="15">
      <c r="A69" s="36" t="s">
        <v>152</v>
      </c>
      <c r="B69" s="153" t="s">
        <v>36</v>
      </c>
      <c r="C69" s="159" t="s">
        <v>153</v>
      </c>
      <c r="D69" s="160" t="s">
        <v>32</v>
      </c>
      <c r="E69" s="138">
        <v>0</v>
      </c>
      <c r="F69" s="167">
        <v>0</v>
      </c>
      <c r="G69" s="139"/>
      <c r="H69" s="139"/>
      <c r="I69" s="171">
        <v>6</v>
      </c>
      <c r="J69" s="171"/>
      <c r="K69" s="170">
        <v>6</v>
      </c>
      <c r="L69" s="150">
        <v>6</v>
      </c>
      <c r="M69" s="35"/>
      <c r="N69" s="157">
        <f t="shared" si="2"/>
        <v>6</v>
      </c>
      <c r="O69" s="157"/>
      <c r="P69" s="157">
        <f t="shared" si="3"/>
        <v>6</v>
      </c>
    </row>
    <row r="70" spans="1:16" ht="15">
      <c r="A70" s="36" t="s">
        <v>152</v>
      </c>
      <c r="B70" s="153" t="s">
        <v>30</v>
      </c>
      <c r="C70" s="159" t="s">
        <v>154</v>
      </c>
      <c r="D70" s="160" t="s">
        <v>38</v>
      </c>
      <c r="E70" s="138">
        <v>0</v>
      </c>
      <c r="F70" s="167">
        <v>0</v>
      </c>
      <c r="G70" s="139"/>
      <c r="H70" s="139"/>
      <c r="I70" s="171">
        <v>11</v>
      </c>
      <c r="J70" s="171"/>
      <c r="K70" s="170">
        <v>11</v>
      </c>
      <c r="L70" s="150">
        <v>11</v>
      </c>
      <c r="M70" s="35"/>
      <c r="N70" s="157">
        <f t="shared" si="2"/>
        <v>11</v>
      </c>
      <c r="O70" s="157"/>
      <c r="P70" s="157">
        <f t="shared" si="3"/>
        <v>11</v>
      </c>
    </row>
    <row r="71" spans="1:16" ht="15" thickBot="1">
      <c r="A71" s="143" t="s">
        <v>155</v>
      </c>
      <c r="B71" s="153" t="s">
        <v>36</v>
      </c>
      <c r="C71" s="159" t="s">
        <v>156</v>
      </c>
      <c r="D71" s="160" t="s">
        <v>32</v>
      </c>
      <c r="E71" s="156">
        <v>0</v>
      </c>
      <c r="F71" s="167">
        <v>0</v>
      </c>
      <c r="G71" s="157"/>
      <c r="H71" s="157"/>
      <c r="I71" s="171">
        <v>1</v>
      </c>
      <c r="J71" s="171"/>
      <c r="K71" s="170">
        <v>1</v>
      </c>
      <c r="L71" s="150">
        <v>1</v>
      </c>
      <c r="M71" s="35"/>
      <c r="N71" s="157">
        <f t="shared" si="2"/>
        <v>1</v>
      </c>
      <c r="O71" s="157"/>
      <c r="P71" s="157">
        <f t="shared" si="3"/>
        <v>1</v>
      </c>
    </row>
    <row r="72" spans="1:16" ht="15">
      <c r="A72" s="144" t="s">
        <v>157</v>
      </c>
      <c r="B72" s="153" t="s">
        <v>36</v>
      </c>
      <c r="C72" s="159" t="s">
        <v>158</v>
      </c>
      <c r="D72" s="160" t="s">
        <v>32</v>
      </c>
      <c r="E72" s="156">
        <v>0</v>
      </c>
      <c r="F72" s="167">
        <v>0</v>
      </c>
      <c r="G72" s="157"/>
      <c r="H72" s="157"/>
      <c r="I72" s="171">
        <v>5</v>
      </c>
      <c r="J72" s="171"/>
      <c r="K72" s="170">
        <v>9</v>
      </c>
      <c r="L72" s="150">
        <v>5</v>
      </c>
      <c r="M72" s="35"/>
      <c r="N72" s="157">
        <f t="shared" si="2"/>
        <v>9</v>
      </c>
      <c r="O72" s="157"/>
      <c r="P72" s="157">
        <f t="shared" si="3"/>
        <v>9</v>
      </c>
    </row>
    <row r="73" spans="1:16" ht="15">
      <c r="A73" s="169"/>
      <c r="B73" s="153" t="s">
        <v>30</v>
      </c>
      <c r="C73" s="159" t="s">
        <v>289</v>
      </c>
      <c r="D73" s="160" t="s">
        <v>53</v>
      </c>
      <c r="E73" s="156"/>
      <c r="F73" s="167">
        <v>6</v>
      </c>
      <c r="G73" s="157">
        <v>0.7</v>
      </c>
      <c r="H73" s="157">
        <v>0.75</v>
      </c>
      <c r="I73" s="170"/>
      <c r="J73" s="171"/>
      <c r="K73" s="170"/>
      <c r="L73" s="150"/>
      <c r="M73" s="35"/>
      <c r="N73" s="157">
        <v>4</v>
      </c>
      <c r="O73" s="157"/>
      <c r="P73" s="157">
        <f t="shared" si="3"/>
        <v>4</v>
      </c>
    </row>
    <row r="74" spans="1:16" ht="15">
      <c r="A74" s="169"/>
      <c r="B74" s="133" t="s">
        <v>36</v>
      </c>
      <c r="C74" s="136" t="s">
        <v>299</v>
      </c>
      <c r="D74" s="161" t="s">
        <v>32</v>
      </c>
      <c r="E74" s="156"/>
      <c r="F74" s="167"/>
      <c r="G74" s="157"/>
      <c r="H74" s="157"/>
      <c r="I74" s="170"/>
      <c r="J74" s="171"/>
      <c r="K74" s="170"/>
      <c r="L74" s="150"/>
      <c r="M74" s="35"/>
      <c r="N74" s="157"/>
      <c r="O74" s="157"/>
      <c r="P74" s="157">
        <v>6</v>
      </c>
    </row>
    <row r="75" spans="1:16" ht="15">
      <c r="A75" s="147" t="s">
        <v>159</v>
      </c>
      <c r="B75" s="153" t="s">
        <v>36</v>
      </c>
      <c r="C75" s="159" t="s">
        <v>159</v>
      </c>
      <c r="D75" s="161" t="s">
        <v>32</v>
      </c>
      <c r="E75" s="138"/>
      <c r="F75" s="138">
        <v>0</v>
      </c>
      <c r="G75" s="139"/>
      <c r="H75" s="139"/>
      <c r="I75" s="171">
        <v>30</v>
      </c>
      <c r="J75" s="171"/>
      <c r="K75" s="170">
        <v>30</v>
      </c>
      <c r="L75" s="150">
        <v>30</v>
      </c>
      <c r="M75" s="35"/>
      <c r="N75" s="157">
        <v>30</v>
      </c>
      <c r="O75" s="157"/>
      <c r="P75" s="157">
        <f t="shared" si="3"/>
        <v>30</v>
      </c>
    </row>
    <row r="76" spans="1:16" ht="15">
      <c r="A76" s="148" t="s">
        <v>169</v>
      </c>
      <c r="B76" s="153" t="s">
        <v>36</v>
      </c>
      <c r="C76" s="159" t="s">
        <v>170</v>
      </c>
      <c r="D76" s="160" t="s">
        <v>32</v>
      </c>
      <c r="E76" s="158"/>
      <c r="F76" s="158">
        <v>0</v>
      </c>
      <c r="G76" s="164"/>
      <c r="H76" s="164"/>
      <c r="I76" s="171">
        <v>9</v>
      </c>
      <c r="J76" s="171"/>
      <c r="K76" s="170">
        <v>9</v>
      </c>
      <c r="L76" s="150">
        <v>8</v>
      </c>
      <c r="M76" s="35"/>
      <c r="N76" s="157">
        <v>9</v>
      </c>
      <c r="O76" s="157"/>
      <c r="P76" s="157">
        <f t="shared" si="3"/>
        <v>9</v>
      </c>
    </row>
    <row r="77" spans="1:16" ht="15">
      <c r="A77" s="121"/>
      <c r="B77" s="184"/>
      <c r="C77" s="184"/>
      <c r="D77" s="185" t="s">
        <v>171</v>
      </c>
      <c r="E77" s="185"/>
      <c r="F77" s="185"/>
      <c r="G77" s="185"/>
      <c r="H77" s="185"/>
      <c r="I77" s="185"/>
      <c r="J77" s="185"/>
      <c r="K77" s="185">
        <f>SUM(K2:K76)</f>
        <v>1204</v>
      </c>
      <c r="L77" s="185">
        <f>SUM(L2:L76)</f>
        <v>1098</v>
      </c>
      <c r="M77" s="185"/>
      <c r="N77" s="185"/>
      <c r="O77" s="185"/>
      <c r="P77" s="188">
        <f>SUM(P2:P76)</f>
        <v>1288</v>
      </c>
    </row>
    <row r="78" spans="1:16" ht="15">
      <c r="A78" s="121"/>
      <c r="B78" s="184"/>
      <c r="C78" s="184"/>
      <c r="D78" s="185" t="s">
        <v>172</v>
      </c>
      <c r="E78" s="185"/>
      <c r="F78" s="185"/>
      <c r="G78" s="185"/>
      <c r="H78" s="185"/>
      <c r="I78" s="185"/>
      <c r="J78" s="185" t="s">
        <v>173</v>
      </c>
      <c r="K78" s="185">
        <v>57</v>
      </c>
      <c r="L78" s="185">
        <v>57</v>
      </c>
      <c r="M78" s="185"/>
      <c r="N78" s="185"/>
      <c r="O78" s="185"/>
      <c r="P78" s="188">
        <v>57</v>
      </c>
    </row>
    <row r="79" spans="1:16" ht="15">
      <c r="A79" s="121"/>
      <c r="B79" s="184"/>
      <c r="C79" s="184"/>
      <c r="D79" s="185" t="s">
        <v>174</v>
      </c>
      <c r="E79" s="185"/>
      <c r="F79" s="185"/>
      <c r="G79" s="185"/>
      <c r="H79" s="185"/>
      <c r="I79" s="185"/>
      <c r="J79" s="185"/>
      <c r="K79" s="185">
        <f>SUM(K77:K78)</f>
        <v>1261</v>
      </c>
      <c r="L79" s="185">
        <f>SUM(L77:L78)</f>
        <v>1155</v>
      </c>
      <c r="M79" s="185">
        <f>+L79-K79</f>
        <v>-106</v>
      </c>
      <c r="N79" s="185"/>
      <c r="O79" s="185"/>
      <c r="P79" s="188">
        <f>+P77+P78</f>
        <v>1345</v>
      </c>
    </row>
    <row r="80" spans="2:16" ht="15">
      <c r="B80" s="186"/>
      <c r="C80" s="187"/>
      <c r="D80" s="186"/>
      <c r="E80" s="187"/>
      <c r="F80" s="187"/>
      <c r="G80" s="187"/>
      <c r="H80" s="187"/>
      <c r="I80" s="187"/>
      <c r="J80" s="187"/>
      <c r="K80" s="187"/>
      <c r="L80" s="187"/>
      <c r="M80" s="187"/>
      <c r="N80" s="186"/>
      <c r="O80" s="186"/>
      <c r="P80" s="186"/>
    </row>
  </sheetData>
  <sheetProtection selectLockedCells="1" selectUnlockedCells="1"/>
  <printOptions horizontalCentered="1"/>
  <pageMargins left="0.2755905511811024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zoomScalePageLayoutView="0" workbookViewId="0" topLeftCell="A1">
      <selection activeCell="M4" sqref="M4"/>
    </sheetView>
  </sheetViews>
  <sheetFormatPr defaultColWidth="6.59765625" defaultRowHeight="12.75" customHeight="1"/>
  <cols>
    <col min="1" max="1" width="29.296875" style="1" customWidth="1"/>
    <col min="2" max="2" width="13.8984375" style="1" hidden="1" customWidth="1"/>
    <col min="3" max="3" width="8.59765625" style="1" customWidth="1"/>
    <col min="4" max="5" width="8.59765625" style="1" hidden="1" customWidth="1"/>
    <col min="6" max="7" width="6.59765625" style="1" hidden="1" customWidth="1"/>
    <col min="8" max="8" width="14.3984375" style="1" hidden="1" customWidth="1"/>
    <col min="9" max="9" width="6.59765625" style="1" hidden="1" customWidth="1"/>
    <col min="10" max="10" width="11.59765625" style="1" customWidth="1"/>
    <col min="11" max="16384" width="6.59765625" style="1" customWidth="1"/>
  </cols>
  <sheetData>
    <row r="1" spans="1:9" ht="35.25" customHeight="1">
      <c r="A1" s="37" t="s">
        <v>175</v>
      </c>
      <c r="B1" s="38" t="s">
        <v>176</v>
      </c>
      <c r="C1" s="24" t="s">
        <v>177</v>
      </c>
      <c r="D1" s="24" t="s">
        <v>178</v>
      </c>
      <c r="E1" s="24" t="s">
        <v>179</v>
      </c>
      <c r="F1" s="39">
        <v>42735</v>
      </c>
      <c r="G1" s="39" t="s">
        <v>180</v>
      </c>
      <c r="H1" s="25" t="s">
        <v>181</v>
      </c>
      <c r="I1" s="24" t="s">
        <v>3</v>
      </c>
    </row>
    <row r="2" spans="1:9" ht="12.75" customHeight="1">
      <c r="A2" s="40"/>
      <c r="B2" s="41"/>
      <c r="C2" s="42"/>
      <c r="D2" s="42"/>
      <c r="E2" s="42"/>
      <c r="F2" s="43"/>
      <c r="G2" s="43"/>
      <c r="H2" s="42"/>
      <c r="I2" s="44"/>
    </row>
    <row r="3" spans="1:9" ht="12.75" customHeight="1">
      <c r="A3" s="45" t="s">
        <v>182</v>
      </c>
      <c r="B3" s="46">
        <v>626</v>
      </c>
      <c r="C3" s="99">
        <f>+medici!AC81</f>
        <v>769</v>
      </c>
      <c r="D3" s="11"/>
      <c r="E3" s="11"/>
      <c r="F3" s="11"/>
      <c r="G3" s="11"/>
      <c r="H3" s="11">
        <v>631</v>
      </c>
      <c r="I3" s="11">
        <f>+C3-H3</f>
        <v>138</v>
      </c>
    </row>
    <row r="4" spans="1:9" ht="12.75" customHeight="1">
      <c r="A4" s="40" t="s">
        <v>323</v>
      </c>
      <c r="B4" s="41"/>
      <c r="C4" s="99">
        <v>1</v>
      </c>
      <c r="D4" s="11"/>
      <c r="E4" s="11"/>
      <c r="F4" s="11"/>
      <c r="G4" s="11"/>
      <c r="H4" s="11"/>
      <c r="I4" s="11"/>
    </row>
    <row r="5" spans="1:9" ht="12.75" customHeight="1">
      <c r="A5" s="45" t="s">
        <v>183</v>
      </c>
      <c r="B5" s="41">
        <v>7</v>
      </c>
      <c r="C5" s="99">
        <v>9</v>
      </c>
      <c r="D5" s="11"/>
      <c r="E5" s="11"/>
      <c r="F5" s="11"/>
      <c r="G5" s="11"/>
      <c r="H5" s="11">
        <f>7+1</f>
        <v>8</v>
      </c>
      <c r="I5" s="11">
        <f>+C5-H5</f>
        <v>1</v>
      </c>
    </row>
    <row r="6" spans="1:9" ht="12.75" customHeight="1">
      <c r="A6" s="40"/>
      <c r="B6" s="41"/>
      <c r="C6" s="99"/>
      <c r="D6" s="11"/>
      <c r="E6" s="11"/>
      <c r="F6" s="11"/>
      <c r="G6" s="11"/>
      <c r="H6" s="11"/>
      <c r="I6" s="11"/>
    </row>
    <row r="7" spans="1:9" ht="12.75" customHeight="1">
      <c r="A7" s="45" t="s">
        <v>184</v>
      </c>
      <c r="B7" s="46">
        <v>24</v>
      </c>
      <c r="C7" s="99">
        <v>34</v>
      </c>
      <c r="D7" s="11"/>
      <c r="E7" s="11"/>
      <c r="F7" s="11"/>
      <c r="G7" s="11"/>
      <c r="H7" s="11">
        <f>22+6</f>
        <v>28</v>
      </c>
      <c r="I7" s="11">
        <f>+C7-H7</f>
        <v>6</v>
      </c>
    </row>
    <row r="8" spans="1:9" ht="12.75" customHeight="1">
      <c r="A8" s="47" t="s">
        <v>185</v>
      </c>
      <c r="B8" s="41">
        <v>5</v>
      </c>
      <c r="C8" s="99">
        <v>5</v>
      </c>
      <c r="D8" s="11"/>
      <c r="E8" s="11"/>
      <c r="F8" s="11"/>
      <c r="G8" s="11"/>
      <c r="H8" s="11">
        <v>5</v>
      </c>
      <c r="I8" s="11">
        <f>+C8-H8</f>
        <v>0</v>
      </c>
    </row>
    <row r="9" spans="1:9" ht="12.75" customHeight="1">
      <c r="A9" s="47" t="s">
        <v>186</v>
      </c>
      <c r="B9" s="41">
        <v>2</v>
      </c>
      <c r="C9" s="99">
        <f>4+3</f>
        <v>7</v>
      </c>
      <c r="D9" s="11"/>
      <c r="E9" s="11"/>
      <c r="F9" s="11"/>
      <c r="G9" s="11"/>
      <c r="H9" s="11">
        <v>2</v>
      </c>
      <c r="I9" s="11">
        <f>+C9-H9</f>
        <v>5</v>
      </c>
    </row>
    <row r="10" spans="1:9" ht="12.75" customHeight="1">
      <c r="A10" s="47" t="s">
        <v>298</v>
      </c>
      <c r="B10" s="41">
        <v>1</v>
      </c>
      <c r="C10" s="99">
        <v>2</v>
      </c>
      <c r="D10" s="11"/>
      <c r="E10" s="11"/>
      <c r="F10" s="11"/>
      <c r="G10" s="11"/>
      <c r="H10" s="11">
        <v>1</v>
      </c>
      <c r="I10" s="11">
        <f>+C10-H10</f>
        <v>1</v>
      </c>
    </row>
    <row r="11" spans="1:9" ht="12.75" customHeight="1">
      <c r="A11" s="47" t="s">
        <v>300</v>
      </c>
      <c r="B11" s="41"/>
      <c r="C11" s="99">
        <v>1</v>
      </c>
      <c r="D11" s="11"/>
      <c r="E11" s="11"/>
      <c r="F11" s="11"/>
      <c r="G11" s="11"/>
      <c r="H11" s="11"/>
      <c r="I11" s="11"/>
    </row>
    <row r="12" spans="1:9" ht="25.5" customHeight="1">
      <c r="A12" s="47" t="s">
        <v>187</v>
      </c>
      <c r="B12" s="46">
        <v>0</v>
      </c>
      <c r="C12" s="99">
        <v>4</v>
      </c>
      <c r="D12" s="11"/>
      <c r="E12" s="11"/>
      <c r="F12" s="11"/>
      <c r="G12" s="11"/>
      <c r="H12" s="11">
        <v>3</v>
      </c>
      <c r="I12" s="11">
        <f>+C12-H12</f>
        <v>1</v>
      </c>
    </row>
    <row r="13" spans="1:9" ht="12.75" customHeight="1">
      <c r="A13" s="48"/>
      <c r="B13" s="41"/>
      <c r="C13" s="99"/>
      <c r="D13" s="11"/>
      <c r="E13" s="11"/>
      <c r="F13" s="11"/>
      <c r="G13" s="11"/>
      <c r="H13" s="11"/>
      <c r="I13" s="11"/>
    </row>
    <row r="14" spans="1:9" ht="12.75" customHeight="1">
      <c r="A14" s="217" t="s">
        <v>188</v>
      </c>
      <c r="B14" s="46">
        <v>7</v>
      </c>
      <c r="C14" s="11">
        <f>16-1</f>
        <v>15</v>
      </c>
      <c r="D14" s="11"/>
      <c r="E14" s="11"/>
      <c r="F14" s="11"/>
      <c r="G14" s="11"/>
      <c r="H14" s="11">
        <v>7</v>
      </c>
      <c r="I14" s="11">
        <f>+C14-H14</f>
        <v>8</v>
      </c>
    </row>
    <row r="15" spans="1:9" ht="12.75" customHeight="1">
      <c r="A15" s="45" t="s">
        <v>189</v>
      </c>
      <c r="B15" s="46">
        <v>1</v>
      </c>
      <c r="C15" s="11">
        <v>3</v>
      </c>
      <c r="D15" s="11"/>
      <c r="E15" s="11"/>
      <c r="F15" s="11"/>
      <c r="G15" s="11"/>
      <c r="H15" s="11">
        <v>1</v>
      </c>
      <c r="I15" s="11">
        <f>+C15-H15</f>
        <v>2</v>
      </c>
    </row>
    <row r="16" spans="1:9" ht="12.75" customHeight="1">
      <c r="A16" s="218" t="s">
        <v>190</v>
      </c>
      <c r="B16" s="49">
        <v>3</v>
      </c>
      <c r="C16" s="11">
        <v>5</v>
      </c>
      <c r="D16" s="11"/>
      <c r="E16" s="11"/>
      <c r="F16" s="11"/>
      <c r="G16" s="11"/>
      <c r="H16" s="11">
        <v>3</v>
      </c>
      <c r="I16" s="11">
        <f>+C16-H16</f>
        <v>2</v>
      </c>
    </row>
    <row r="17" spans="1:9" ht="12.75" customHeight="1">
      <c r="A17" s="223" t="s">
        <v>191</v>
      </c>
      <c r="B17" s="41">
        <v>1</v>
      </c>
      <c r="C17" s="11">
        <v>2</v>
      </c>
      <c r="D17" s="11"/>
      <c r="E17" s="11"/>
      <c r="F17" s="11"/>
      <c r="G17" s="11"/>
      <c r="H17" s="11">
        <v>1</v>
      </c>
      <c r="I17" s="11">
        <f>+C17-H17</f>
        <v>1</v>
      </c>
    </row>
    <row r="18" spans="1:9" ht="12.75" customHeight="1">
      <c r="A18" s="47" t="s">
        <v>192</v>
      </c>
      <c r="B18" s="41">
        <v>1</v>
      </c>
      <c r="C18" s="99">
        <v>2</v>
      </c>
      <c r="D18" s="11"/>
      <c r="E18" s="11"/>
      <c r="F18" s="50"/>
      <c r="G18" s="50"/>
      <c r="H18" s="11">
        <v>1</v>
      </c>
      <c r="I18" s="11">
        <f>+C18-H18</f>
        <v>1</v>
      </c>
    </row>
    <row r="19" ht="12.75" customHeight="1">
      <c r="G19" s="51">
        <f>+C19-F19</f>
        <v>0</v>
      </c>
    </row>
  </sheetData>
  <sheetProtection selectLockedCells="1" selectUnlockedCells="1"/>
  <conditionalFormatting sqref="B1">
    <cfRule type="cellIs" priority="1" dxfId="5" operator="equal" stopIfTrue="1">
      <formula>"modifica rete"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r:id="rId1"/>
  <headerFooter alignWithMargins="0">
    <oddHeader>&amp;Cdotazione organica con prospetti riepilogativi per singolo profilo professionale</oddHeader>
    <oddFooter>&amp;L&amp;"Arial,Normale"000000	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PageLayoutView="0" workbookViewId="0" topLeftCell="A1">
      <selection activeCell="N23" sqref="N23"/>
    </sheetView>
  </sheetViews>
  <sheetFormatPr defaultColWidth="6.59765625" defaultRowHeight="12.75" customHeight="1"/>
  <cols>
    <col min="1" max="1" width="64.8984375" style="1" customWidth="1"/>
    <col min="2" max="2" width="10" style="1" hidden="1" customWidth="1"/>
    <col min="3" max="3" width="10" style="1" customWidth="1"/>
    <col min="4" max="4" width="13.5" style="1" hidden="1" customWidth="1"/>
    <col min="5" max="5" width="10" style="1" hidden="1" customWidth="1"/>
    <col min="6" max="6" width="11.09765625" style="1" hidden="1" customWidth="1"/>
    <col min="7" max="7" width="6.59765625" style="1" hidden="1" customWidth="1"/>
    <col min="8" max="8" width="8.19921875" style="1" hidden="1" customWidth="1"/>
    <col min="9" max="10" width="6.59765625" style="1" hidden="1" customWidth="1"/>
    <col min="11" max="16384" width="6.59765625" style="1" customWidth="1"/>
  </cols>
  <sheetData>
    <row r="1" spans="1:10" ht="49.5" customHeight="1">
      <c r="A1" s="52" t="s">
        <v>193</v>
      </c>
      <c r="B1" s="53" t="s">
        <v>176</v>
      </c>
      <c r="C1" s="52" t="s">
        <v>177</v>
      </c>
      <c r="D1" s="24" t="s">
        <v>178</v>
      </c>
      <c r="E1" s="24" t="s">
        <v>179</v>
      </c>
      <c r="F1" s="25" t="s">
        <v>181</v>
      </c>
      <c r="G1" s="24" t="s">
        <v>3</v>
      </c>
      <c r="J1" s="100" t="s">
        <v>285</v>
      </c>
    </row>
    <row r="2" spans="1:7" ht="15.75" customHeight="1">
      <c r="A2" s="54" t="s">
        <v>194</v>
      </c>
      <c r="B2" s="55">
        <v>3</v>
      </c>
      <c r="C2" s="99">
        <v>2</v>
      </c>
      <c r="D2" s="56"/>
      <c r="E2" s="41"/>
      <c r="F2" s="57">
        <v>2</v>
      </c>
      <c r="G2" s="57">
        <f aca="true" t="shared" si="0" ref="G2:G8">+C2-F2</f>
        <v>0</v>
      </c>
    </row>
    <row r="3" spans="1:7" ht="15.75" customHeight="1">
      <c r="A3" s="54" t="s">
        <v>195</v>
      </c>
      <c r="B3" s="58"/>
      <c r="C3" s="99">
        <v>1</v>
      </c>
      <c r="D3" s="56"/>
      <c r="E3" s="41"/>
      <c r="F3" s="57">
        <v>1</v>
      </c>
      <c r="G3" s="57">
        <f t="shared" si="0"/>
        <v>0</v>
      </c>
    </row>
    <row r="4" spans="1:7" ht="15.75" customHeight="1">
      <c r="A4" s="54" t="s">
        <v>196</v>
      </c>
      <c r="B4" s="58">
        <v>0</v>
      </c>
      <c r="C4" s="99">
        <v>1</v>
      </c>
      <c r="D4" s="56"/>
      <c r="E4" s="41"/>
      <c r="F4" s="57">
        <v>0</v>
      </c>
      <c r="G4" s="57">
        <f t="shared" si="0"/>
        <v>1</v>
      </c>
    </row>
    <row r="5" spans="1:7" ht="15.75" customHeight="1">
      <c r="A5" s="54" t="s">
        <v>197</v>
      </c>
      <c r="B5" s="57">
        <v>2</v>
      </c>
      <c r="C5" s="57">
        <v>2</v>
      </c>
      <c r="D5" s="26"/>
      <c r="E5" s="60"/>
      <c r="F5" s="57">
        <v>2</v>
      </c>
      <c r="G5" s="57">
        <f t="shared" si="0"/>
        <v>0</v>
      </c>
    </row>
    <row r="6" spans="1:10" ht="15.75" customHeight="1">
      <c r="A6" s="54" t="s">
        <v>198</v>
      </c>
      <c r="B6" s="57">
        <v>88</v>
      </c>
      <c r="C6" s="57">
        <v>100</v>
      </c>
      <c r="D6" s="112"/>
      <c r="E6" s="113"/>
      <c r="F6" s="111">
        <v>88</v>
      </c>
      <c r="G6" s="111">
        <f t="shared" si="0"/>
        <v>12</v>
      </c>
      <c r="H6" s="114"/>
      <c r="I6" s="114"/>
      <c r="J6" s="114">
        <v>101</v>
      </c>
    </row>
    <row r="7" spans="1:10" ht="15.75" customHeight="1">
      <c r="A7" s="54" t="s">
        <v>199</v>
      </c>
      <c r="B7" s="57">
        <v>73</v>
      </c>
      <c r="C7" s="57">
        <v>80</v>
      </c>
      <c r="D7" s="115"/>
      <c r="E7" s="116"/>
      <c r="F7" s="111">
        <v>75</v>
      </c>
      <c r="G7" s="111">
        <f t="shared" si="0"/>
        <v>5</v>
      </c>
      <c r="H7" s="114"/>
      <c r="I7" s="114"/>
      <c r="J7" s="114">
        <f>66+7</f>
        <v>73</v>
      </c>
    </row>
    <row r="8" spans="1:7" ht="15.75" customHeight="1">
      <c r="A8" s="54" t="s">
        <v>200</v>
      </c>
      <c r="B8" s="234">
        <v>33</v>
      </c>
      <c r="C8" s="234">
        <v>33</v>
      </c>
      <c r="D8" s="235"/>
      <c r="E8" s="236"/>
      <c r="F8" s="234">
        <v>31</v>
      </c>
      <c r="G8" s="237">
        <f t="shared" si="0"/>
        <v>2</v>
      </c>
    </row>
    <row r="9" spans="1:8" ht="15.75" customHeight="1">
      <c r="A9" s="54" t="s">
        <v>201</v>
      </c>
      <c r="B9" s="234"/>
      <c r="C9" s="234"/>
      <c r="D9" s="234"/>
      <c r="E9" s="236"/>
      <c r="F9" s="234"/>
      <c r="G9" s="237"/>
      <c r="H9" s="1" t="s">
        <v>202</v>
      </c>
    </row>
    <row r="10" spans="1:7" ht="15.75" customHeight="1">
      <c r="A10" s="54" t="s">
        <v>203</v>
      </c>
      <c r="B10" s="57">
        <v>8</v>
      </c>
      <c r="C10" s="57">
        <v>8</v>
      </c>
      <c r="D10" s="56"/>
      <c r="E10" s="41"/>
      <c r="F10" s="57">
        <v>8</v>
      </c>
      <c r="G10" s="57">
        <f aca="true" t="shared" si="1" ref="G10:G18">+C10-F10</f>
        <v>0</v>
      </c>
    </row>
    <row r="11" spans="1:7" ht="15.75" customHeight="1">
      <c r="A11" s="54" t="s">
        <v>204</v>
      </c>
      <c r="B11" s="57">
        <v>2</v>
      </c>
      <c r="C11" s="57">
        <v>2</v>
      </c>
      <c r="D11" s="56"/>
      <c r="E11" s="41"/>
      <c r="F11" s="57">
        <v>2</v>
      </c>
      <c r="G11" s="57">
        <f t="shared" si="1"/>
        <v>0</v>
      </c>
    </row>
    <row r="12" spans="1:7" ht="15.75" customHeight="1">
      <c r="A12" s="54" t="s">
        <v>317</v>
      </c>
      <c r="B12" s="57"/>
      <c r="C12" s="57">
        <v>1</v>
      </c>
      <c r="D12" s="56"/>
      <c r="E12" s="41"/>
      <c r="F12" s="57">
        <v>1</v>
      </c>
      <c r="G12" s="57">
        <f t="shared" si="1"/>
        <v>0</v>
      </c>
    </row>
    <row r="13" spans="1:7" ht="15.75" customHeight="1">
      <c r="A13" s="54" t="s">
        <v>205</v>
      </c>
      <c r="B13" s="59">
        <v>4</v>
      </c>
      <c r="C13" s="99">
        <v>4</v>
      </c>
      <c r="D13" s="56"/>
      <c r="E13" s="41"/>
      <c r="F13" s="57">
        <v>4</v>
      </c>
      <c r="G13" s="57">
        <f t="shared" si="1"/>
        <v>0</v>
      </c>
    </row>
    <row r="14" spans="1:7" ht="15.75" customHeight="1">
      <c r="A14" s="54" t="s">
        <v>206</v>
      </c>
      <c r="B14" s="59">
        <v>1</v>
      </c>
      <c r="C14" s="101">
        <v>1</v>
      </c>
      <c r="D14" s="56"/>
      <c r="E14" s="41"/>
      <c r="F14" s="57">
        <v>1</v>
      </c>
      <c r="G14" s="57">
        <f t="shared" si="1"/>
        <v>0</v>
      </c>
    </row>
    <row r="15" spans="1:7" ht="15.75" customHeight="1">
      <c r="A15" s="54" t="s">
        <v>207</v>
      </c>
      <c r="B15" s="59">
        <v>1</v>
      </c>
      <c r="C15" s="101">
        <v>1</v>
      </c>
      <c r="D15" s="56"/>
      <c r="E15" s="41"/>
      <c r="F15" s="57">
        <v>1</v>
      </c>
      <c r="G15" s="57">
        <f t="shared" si="1"/>
        <v>0</v>
      </c>
    </row>
    <row r="16" spans="1:7" ht="15.75" customHeight="1">
      <c r="A16" s="62" t="s">
        <v>208</v>
      </c>
      <c r="B16" s="59">
        <v>16</v>
      </c>
      <c r="C16" s="101">
        <v>19</v>
      </c>
      <c r="D16" s="63"/>
      <c r="E16" s="46"/>
      <c r="F16" s="57">
        <v>19</v>
      </c>
      <c r="G16" s="57">
        <f t="shared" si="1"/>
        <v>0</v>
      </c>
    </row>
    <row r="17" spans="1:7" ht="15.75" customHeight="1">
      <c r="A17" s="62" t="s">
        <v>209</v>
      </c>
      <c r="B17" s="59">
        <v>15</v>
      </c>
      <c r="C17" s="101">
        <v>4</v>
      </c>
      <c r="D17" s="64"/>
      <c r="E17" s="41"/>
      <c r="F17" s="57">
        <v>7</v>
      </c>
      <c r="G17" s="57">
        <f t="shared" si="1"/>
        <v>-3</v>
      </c>
    </row>
    <row r="18" spans="1:7" ht="15.75" customHeight="1">
      <c r="A18" s="54" t="s">
        <v>210</v>
      </c>
      <c r="B18" s="59">
        <v>7</v>
      </c>
      <c r="C18" s="101">
        <v>6</v>
      </c>
      <c r="D18" s="56"/>
      <c r="E18" s="41"/>
      <c r="F18" s="57">
        <v>6</v>
      </c>
      <c r="G18" s="57">
        <f t="shared" si="1"/>
        <v>0</v>
      </c>
    </row>
    <row r="19" spans="1:7" ht="15.75" customHeight="1">
      <c r="A19" s="54" t="s">
        <v>243</v>
      </c>
      <c r="B19" s="59"/>
      <c r="C19" s="101">
        <f>2-1</f>
        <v>1</v>
      </c>
      <c r="D19" s="56"/>
      <c r="E19" s="41"/>
      <c r="F19" s="57"/>
      <c r="G19" s="57"/>
    </row>
    <row r="20" spans="1:7" ht="15.75" customHeight="1">
      <c r="A20" s="54" t="s">
        <v>286</v>
      </c>
      <c r="C20" s="101">
        <f>1+1</f>
        <v>2</v>
      </c>
      <c r="D20" s="67"/>
      <c r="E20" s="41">
        <f>C21-B21</f>
        <v>15</v>
      </c>
      <c r="F20" s="66">
        <f>SUM(F2:F18)</f>
        <v>248</v>
      </c>
      <c r="G20" s="57">
        <f>+C21-F20</f>
        <v>20</v>
      </c>
    </row>
    <row r="21" spans="1:5" ht="15.75" customHeight="1">
      <c r="A21" s="65" t="s">
        <v>163</v>
      </c>
      <c r="B21" s="66">
        <f>SUM(B2:B18)</f>
        <v>253</v>
      </c>
      <c r="C21" s="189">
        <f>SUM(C2:C20)</f>
        <v>268</v>
      </c>
      <c r="D21" s="68"/>
      <c r="E21" s="68"/>
    </row>
    <row r="22" spans="1:5" ht="16.5" customHeight="1">
      <c r="A22" s="69"/>
      <c r="B22" s="69"/>
      <c r="C22" s="102"/>
      <c r="D22" s="69"/>
      <c r="E22" s="69"/>
    </row>
    <row r="23" spans="1:7" ht="39" customHeight="1">
      <c r="A23" s="70" t="s">
        <v>211</v>
      </c>
      <c r="B23" s="53" t="s">
        <v>176</v>
      </c>
      <c r="C23" s="52" t="s">
        <v>177</v>
      </c>
      <c r="D23" s="24" t="s">
        <v>178</v>
      </c>
      <c r="E23" s="24" t="s">
        <v>179</v>
      </c>
      <c r="F23" s="25" t="s">
        <v>181</v>
      </c>
      <c r="G23" s="71" t="s">
        <v>3</v>
      </c>
    </row>
    <row r="24" spans="1:7" ht="16.5" customHeight="1">
      <c r="A24" s="72" t="s">
        <v>212</v>
      </c>
      <c r="B24" s="229">
        <v>1238</v>
      </c>
      <c r="C24" s="230">
        <f>1339+6</f>
        <v>1345</v>
      </c>
      <c r="D24" s="231"/>
      <c r="E24" s="232"/>
      <c r="F24" s="233">
        <v>1155</v>
      </c>
      <c r="G24" s="232">
        <f>+C24-F24</f>
        <v>190</v>
      </c>
    </row>
    <row r="25" spans="1:7" ht="15.75" customHeight="1">
      <c r="A25" s="73" t="s">
        <v>213</v>
      </c>
      <c r="B25" s="229"/>
      <c r="C25" s="230"/>
      <c r="D25" s="231"/>
      <c r="E25" s="231"/>
      <c r="F25" s="233"/>
      <c r="G25" s="232"/>
    </row>
    <row r="26" spans="1:7" ht="15.75" customHeight="1">
      <c r="A26" s="73" t="s">
        <v>214</v>
      </c>
      <c r="B26" s="229"/>
      <c r="C26" s="230"/>
      <c r="D26" s="231"/>
      <c r="E26" s="231"/>
      <c r="F26" s="233"/>
      <c r="G26" s="232"/>
    </row>
    <row r="27" spans="1:7" ht="15.75" customHeight="1">
      <c r="A27" s="73" t="s">
        <v>215</v>
      </c>
      <c r="B27" s="229"/>
      <c r="C27" s="230"/>
      <c r="D27" s="231"/>
      <c r="E27" s="231"/>
      <c r="F27" s="233"/>
      <c r="G27" s="232">
        <f>+C24-F24</f>
        <v>190</v>
      </c>
    </row>
    <row r="28" spans="1:7" ht="15.75" customHeight="1">
      <c r="A28" s="73" t="s">
        <v>216</v>
      </c>
      <c r="B28" s="229"/>
      <c r="C28" s="230"/>
      <c r="D28" s="231"/>
      <c r="E28" s="231"/>
      <c r="F28" s="233"/>
      <c r="G28" s="232"/>
    </row>
    <row r="29" spans="1:7" ht="15.75" customHeight="1">
      <c r="A29" s="73" t="s">
        <v>217</v>
      </c>
      <c r="B29" s="229"/>
      <c r="C29" s="230"/>
      <c r="D29" s="231"/>
      <c r="E29" s="231"/>
      <c r="F29" s="233"/>
      <c r="G29" s="232"/>
    </row>
    <row r="30" spans="1:7" ht="15.75" customHeight="1">
      <c r="A30" s="73" t="s">
        <v>218</v>
      </c>
      <c r="B30" s="229"/>
      <c r="C30" s="230"/>
      <c r="D30" s="231"/>
      <c r="E30" s="231"/>
      <c r="F30" s="233"/>
      <c r="G30" s="232"/>
    </row>
    <row r="31" spans="1:7" ht="15.75" customHeight="1">
      <c r="A31" s="65" t="s">
        <v>219</v>
      </c>
      <c r="B31" s="65">
        <f>SUM(B24:B30)</f>
        <v>1238</v>
      </c>
      <c r="C31" s="189">
        <f>SUM(C24)</f>
        <v>1345</v>
      </c>
      <c r="D31" s="74">
        <f>IF(B31-C31&gt;0,B31-C31,0)</f>
        <v>0</v>
      </c>
      <c r="E31" s="43">
        <f>IF(B31-C31&gt;0,0,C31-B31)</f>
        <v>107</v>
      </c>
      <c r="F31" s="43">
        <f>+F24</f>
        <v>1155</v>
      </c>
      <c r="G31" s="43">
        <f>+G24</f>
        <v>190</v>
      </c>
    </row>
  </sheetData>
  <sheetProtection selectLockedCells="1" selectUnlockedCells="1"/>
  <mergeCells count="12">
    <mergeCell ref="B8:B9"/>
    <mergeCell ref="C8:C9"/>
    <mergeCell ref="D8:D9"/>
    <mergeCell ref="E8:E9"/>
    <mergeCell ref="F8:F9"/>
    <mergeCell ref="G8:G9"/>
    <mergeCell ref="B24:B30"/>
    <mergeCell ref="C24:C30"/>
    <mergeCell ref="D24:D30"/>
    <mergeCell ref="E24:E30"/>
    <mergeCell ref="F24:F30"/>
    <mergeCell ref="G24:G30"/>
  </mergeCells>
  <conditionalFormatting sqref="D31:E31 E16:E17 D18:E19 E20 B24 D24:E24 D2:E7 B8:F8 D10:E15">
    <cfRule type="cellIs" priority="1" dxfId="6" operator="equal" stopIfTrue="1">
      <formula>0</formula>
    </cfRule>
  </conditionalFormatting>
  <conditionalFormatting sqref="B23 B1">
    <cfRule type="cellIs" priority="2" dxfId="5" operator="equal" stopIfTrue="1">
      <formula>"modifica rete"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79" r:id="rId1"/>
  <headerFooter alignWithMargins="0">
    <oddHeader>&amp;Cdotazione organica con prospetti riepilogativi per singolo profilo professionale</oddHeader>
    <oddFooter>&amp;L&amp;"Arial,Normale"000000	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C26" sqref="C26"/>
    </sheetView>
  </sheetViews>
  <sheetFormatPr defaultColWidth="6.59765625" defaultRowHeight="12.75" customHeight="1"/>
  <cols>
    <col min="1" max="1" width="59.19921875" style="1" customWidth="1"/>
    <col min="2" max="2" width="13.09765625" style="1" hidden="1" customWidth="1"/>
    <col min="3" max="3" width="10.59765625" style="1" customWidth="1"/>
    <col min="4" max="5" width="9.5" style="1" hidden="1" customWidth="1"/>
    <col min="6" max="6" width="6.59765625" style="1" hidden="1" customWidth="1"/>
    <col min="7" max="7" width="12.796875" style="1" hidden="1" customWidth="1"/>
    <col min="8" max="8" width="6.59765625" style="1" hidden="1" customWidth="1"/>
    <col min="9" max="9" width="25.59765625" style="1" hidden="1" customWidth="1"/>
    <col min="10" max="16384" width="6.59765625" style="1" customWidth="1"/>
  </cols>
  <sheetData>
    <row r="1" spans="1:8" ht="38.25" customHeight="1">
      <c r="A1" s="37" t="s">
        <v>220</v>
      </c>
      <c r="B1" s="75" t="s">
        <v>176</v>
      </c>
      <c r="C1" s="24" t="s">
        <v>177</v>
      </c>
      <c r="D1" s="24" t="s">
        <v>178</v>
      </c>
      <c r="E1" s="24" t="s">
        <v>179</v>
      </c>
      <c r="F1" s="25" t="s">
        <v>221</v>
      </c>
      <c r="G1" s="25" t="s">
        <v>221</v>
      </c>
      <c r="H1" s="71" t="s">
        <v>3</v>
      </c>
    </row>
    <row r="2" spans="1:8" ht="15.75" customHeight="1">
      <c r="A2" s="54" t="s">
        <v>222</v>
      </c>
      <c r="B2" s="61">
        <v>34</v>
      </c>
      <c r="C2" s="103">
        <v>50</v>
      </c>
      <c r="D2" s="26"/>
      <c r="E2" s="12"/>
      <c r="F2" s="76"/>
      <c r="G2" s="12">
        <v>31</v>
      </c>
      <c r="H2" s="12">
        <f aca="true" t="shared" si="0" ref="H2:H7">+C2-G2</f>
        <v>19</v>
      </c>
    </row>
    <row r="3" spans="1:8" ht="15.75" customHeight="1">
      <c r="A3" s="54" t="s">
        <v>223</v>
      </c>
      <c r="B3" s="61">
        <v>33</v>
      </c>
      <c r="C3" s="103">
        <f>34+6</f>
        <v>40</v>
      </c>
      <c r="D3" s="26"/>
      <c r="E3" s="12"/>
      <c r="F3" s="76"/>
      <c r="G3" s="12">
        <v>26</v>
      </c>
      <c r="H3" s="12">
        <f t="shared" si="0"/>
        <v>14</v>
      </c>
    </row>
    <row r="4" spans="1:9" ht="15.75" customHeight="1">
      <c r="A4" s="54" t="s">
        <v>224</v>
      </c>
      <c r="B4" s="61">
        <v>52</v>
      </c>
      <c r="C4" s="103">
        <f>47+26</f>
        <v>73</v>
      </c>
      <c r="D4" s="26"/>
      <c r="E4" s="12"/>
      <c r="F4" s="76"/>
      <c r="G4" s="12">
        <v>47</v>
      </c>
      <c r="H4" s="12">
        <f t="shared" si="0"/>
        <v>26</v>
      </c>
      <c r="I4" s="1" t="s">
        <v>225</v>
      </c>
    </row>
    <row r="5" spans="1:9" ht="15.75" customHeight="1">
      <c r="A5" s="54" t="s">
        <v>226</v>
      </c>
      <c r="B5" s="61">
        <v>28</v>
      </c>
      <c r="C5" s="103">
        <v>23</v>
      </c>
      <c r="D5" s="26"/>
      <c r="E5" s="12"/>
      <c r="F5" s="76"/>
      <c r="G5" s="12">
        <v>20</v>
      </c>
      <c r="H5" s="12">
        <f t="shared" si="0"/>
        <v>3</v>
      </c>
      <c r="I5" s="1" t="s">
        <v>227</v>
      </c>
    </row>
    <row r="6" spans="1:8" ht="15.75" customHeight="1">
      <c r="A6" s="54" t="s">
        <v>228</v>
      </c>
      <c r="B6" s="61">
        <v>0</v>
      </c>
      <c r="C6" s="104">
        <f>1+1</f>
        <v>2</v>
      </c>
      <c r="D6" s="56"/>
      <c r="E6" s="61"/>
      <c r="F6" s="44"/>
      <c r="G6" s="61"/>
      <c r="H6" s="12">
        <f t="shared" si="0"/>
        <v>2</v>
      </c>
    </row>
    <row r="7" spans="1:8" ht="15.75" customHeight="1">
      <c r="A7" s="65" t="s">
        <v>163</v>
      </c>
      <c r="B7" s="66">
        <f aca="true" t="shared" si="1" ref="B7:G7">SUM(B2:B6)</f>
        <v>147</v>
      </c>
      <c r="C7" s="189">
        <f t="shared" si="1"/>
        <v>188</v>
      </c>
      <c r="D7" s="74">
        <f t="shared" si="1"/>
        <v>0</v>
      </c>
      <c r="E7" s="74">
        <f t="shared" si="1"/>
        <v>0</v>
      </c>
      <c r="F7" s="74">
        <f t="shared" si="1"/>
        <v>0</v>
      </c>
      <c r="G7" s="74">
        <f t="shared" si="1"/>
        <v>124</v>
      </c>
      <c r="H7" s="74">
        <f t="shared" si="0"/>
        <v>64</v>
      </c>
    </row>
    <row r="8" spans="1:5" ht="15.75" customHeight="1">
      <c r="A8" s="78"/>
      <c r="B8" s="79"/>
      <c r="C8" s="190"/>
      <c r="D8" s="79"/>
      <c r="E8" s="79"/>
    </row>
    <row r="9" spans="1:5" ht="15.75" customHeight="1">
      <c r="A9" s="80"/>
      <c r="B9" s="81"/>
      <c r="C9" s="106"/>
      <c r="D9" s="82"/>
      <c r="E9" s="82"/>
    </row>
    <row r="10" spans="1:8" ht="38.25" customHeight="1">
      <c r="A10" s="37" t="s">
        <v>229</v>
      </c>
      <c r="B10" s="75" t="s">
        <v>176</v>
      </c>
      <c r="C10" s="37" t="s">
        <v>177</v>
      </c>
      <c r="D10" s="24" t="s">
        <v>178</v>
      </c>
      <c r="E10" s="24" t="s">
        <v>179</v>
      </c>
      <c r="F10" s="25" t="s">
        <v>221</v>
      </c>
      <c r="G10" s="25" t="s">
        <v>221</v>
      </c>
      <c r="H10" s="24" t="s">
        <v>3</v>
      </c>
    </row>
    <row r="11" spans="1:8" ht="15.75" customHeight="1">
      <c r="A11" s="123" t="s">
        <v>288</v>
      </c>
      <c r="B11" s="61">
        <v>2</v>
      </c>
      <c r="C11" s="104">
        <v>3</v>
      </c>
      <c r="D11" s="61"/>
      <c r="E11" s="61"/>
      <c r="G11" s="77">
        <v>3</v>
      </c>
      <c r="H11" s="12">
        <f>+C11-G11</f>
        <v>0</v>
      </c>
    </row>
    <row r="12" spans="1:8" ht="15.75" customHeight="1">
      <c r="A12" s="65" t="s">
        <v>163</v>
      </c>
      <c r="B12" s="66">
        <v>2</v>
      </c>
      <c r="C12" s="189">
        <v>3</v>
      </c>
      <c r="D12" s="83"/>
      <c r="E12" s="83"/>
      <c r="G12" s="74"/>
      <c r="H12" s="74"/>
    </row>
    <row r="13" spans="1:5" ht="15.75" customHeight="1">
      <c r="A13" s="79"/>
      <c r="B13" s="79"/>
      <c r="C13" s="105"/>
      <c r="D13" s="78"/>
      <c r="E13" s="78"/>
    </row>
    <row r="14" spans="1:5" ht="15.75" customHeight="1">
      <c r="A14" s="81"/>
      <c r="B14" s="81"/>
      <c r="C14" s="106"/>
      <c r="D14" s="82"/>
      <c r="E14" s="82"/>
    </row>
    <row r="15" spans="1:8" ht="38.25" customHeight="1">
      <c r="A15" s="37" t="s">
        <v>230</v>
      </c>
      <c r="B15" s="75" t="s">
        <v>176</v>
      </c>
      <c r="C15" s="37" t="s">
        <v>177</v>
      </c>
      <c r="D15" s="71" t="s">
        <v>178</v>
      </c>
      <c r="E15" s="71" t="s">
        <v>179</v>
      </c>
      <c r="F15" s="84"/>
      <c r="G15" s="25" t="s">
        <v>231</v>
      </c>
      <c r="H15" s="71" t="s">
        <v>3</v>
      </c>
    </row>
    <row r="16" spans="1:8" ht="15.75" customHeight="1">
      <c r="A16" s="222" t="s">
        <v>232</v>
      </c>
      <c r="B16" s="61">
        <v>7</v>
      </c>
      <c r="C16" s="103">
        <v>6</v>
      </c>
      <c r="D16" s="56"/>
      <c r="E16" s="61"/>
      <c r="F16" s="44"/>
      <c r="G16" s="61">
        <v>5</v>
      </c>
      <c r="H16" s="61">
        <f aca="true" t="shared" si="2" ref="H16:H27">+C16-G16</f>
        <v>1</v>
      </c>
    </row>
    <row r="17" spans="1:8" ht="15.75" customHeight="1">
      <c r="A17" s="54" t="s">
        <v>233</v>
      </c>
      <c r="B17" s="61">
        <v>2</v>
      </c>
      <c r="C17" s="103">
        <v>12</v>
      </c>
      <c r="D17" s="56"/>
      <c r="E17" s="61"/>
      <c r="F17" s="44"/>
      <c r="G17" s="61">
        <v>11</v>
      </c>
      <c r="H17" s="61">
        <f t="shared" si="2"/>
        <v>1</v>
      </c>
    </row>
    <row r="18" spans="1:8" ht="15.75" customHeight="1">
      <c r="A18" s="54" t="s">
        <v>234</v>
      </c>
      <c r="B18" s="61">
        <v>3</v>
      </c>
      <c r="C18" s="107">
        <v>3</v>
      </c>
      <c r="D18" s="86"/>
      <c r="E18" s="85"/>
      <c r="F18" s="87"/>
      <c r="G18" s="85">
        <v>2</v>
      </c>
      <c r="H18" s="61">
        <f t="shared" si="2"/>
        <v>1</v>
      </c>
    </row>
    <row r="19" spans="1:8" ht="15.75" customHeight="1">
      <c r="A19" s="54" t="s">
        <v>235</v>
      </c>
      <c r="B19" s="61">
        <v>1</v>
      </c>
      <c r="C19" s="103">
        <v>17</v>
      </c>
      <c r="D19" s="26"/>
      <c r="E19" s="12"/>
      <c r="F19" s="76"/>
      <c r="G19" s="12">
        <v>1</v>
      </c>
      <c r="H19" s="61">
        <f t="shared" si="2"/>
        <v>16</v>
      </c>
    </row>
    <row r="20" spans="1:8" ht="15.75" customHeight="1">
      <c r="A20" s="54" t="s">
        <v>236</v>
      </c>
      <c r="B20" s="61">
        <v>10</v>
      </c>
      <c r="C20" s="103">
        <v>11</v>
      </c>
      <c r="D20" s="26"/>
      <c r="E20" s="12"/>
      <c r="F20" s="76"/>
      <c r="G20" s="12">
        <v>11</v>
      </c>
      <c r="H20" s="61">
        <f t="shared" si="2"/>
        <v>0</v>
      </c>
    </row>
    <row r="21" spans="1:8" ht="15.75" customHeight="1">
      <c r="A21" s="54" t="s">
        <v>237</v>
      </c>
      <c r="B21" s="61">
        <v>1</v>
      </c>
      <c r="C21" s="103">
        <v>1</v>
      </c>
      <c r="D21" s="26"/>
      <c r="E21" s="12"/>
      <c r="F21" s="76"/>
      <c r="G21" s="12">
        <v>1</v>
      </c>
      <c r="H21" s="61">
        <f t="shared" si="2"/>
        <v>0</v>
      </c>
    </row>
    <row r="22" spans="1:8" ht="15.75" customHeight="1">
      <c r="A22" s="54" t="s">
        <v>238</v>
      </c>
      <c r="B22" s="61">
        <v>3</v>
      </c>
      <c r="C22" s="103">
        <v>2</v>
      </c>
      <c r="D22" s="26"/>
      <c r="E22" s="12"/>
      <c r="F22" s="76"/>
      <c r="G22" s="12">
        <v>2</v>
      </c>
      <c r="H22" s="61">
        <f t="shared" si="2"/>
        <v>0</v>
      </c>
    </row>
    <row r="23" spans="1:9" ht="15.75" customHeight="1">
      <c r="A23" s="54" t="s">
        <v>239</v>
      </c>
      <c r="B23" s="61"/>
      <c r="C23" s="103">
        <v>9</v>
      </c>
      <c r="D23" s="26"/>
      <c r="E23" s="12"/>
      <c r="F23" s="76"/>
      <c r="G23" s="12">
        <v>4</v>
      </c>
      <c r="H23" s="61">
        <f t="shared" si="2"/>
        <v>5</v>
      </c>
      <c r="I23" s="1" t="s">
        <v>240</v>
      </c>
    </row>
    <row r="24" spans="1:8" ht="15.75" customHeight="1">
      <c r="A24" s="54" t="s">
        <v>241</v>
      </c>
      <c r="B24" s="61">
        <v>38</v>
      </c>
      <c r="C24" s="12">
        <f>39+18</f>
        <v>57</v>
      </c>
      <c r="D24" s="26"/>
      <c r="E24" s="12"/>
      <c r="F24" s="76"/>
      <c r="G24" s="12">
        <f>23+16</f>
        <v>39</v>
      </c>
      <c r="H24" s="61">
        <f t="shared" si="2"/>
        <v>18</v>
      </c>
    </row>
    <row r="25" spans="1:8" ht="15.75" customHeight="1">
      <c r="A25" s="222" t="s">
        <v>295</v>
      </c>
      <c r="B25" s="59">
        <v>76</v>
      </c>
      <c r="C25" s="11">
        <v>15</v>
      </c>
      <c r="D25" s="88"/>
      <c r="E25" s="11"/>
      <c r="F25" s="76"/>
      <c r="G25" s="12">
        <v>59</v>
      </c>
      <c r="H25" s="61">
        <f t="shared" si="2"/>
        <v>-44</v>
      </c>
    </row>
    <row r="26" spans="1:8" ht="15.75" customHeight="1">
      <c r="A26" s="54" t="s">
        <v>242</v>
      </c>
      <c r="B26" s="59">
        <v>133</v>
      </c>
      <c r="C26" s="99">
        <v>269</v>
      </c>
      <c r="D26" s="26"/>
      <c r="E26" s="11"/>
      <c r="F26" s="76"/>
      <c r="G26" s="12">
        <v>264</v>
      </c>
      <c r="H26" s="61">
        <f t="shared" si="2"/>
        <v>5</v>
      </c>
    </row>
    <row r="27" spans="1:8" ht="15.75" customHeight="1">
      <c r="A27" s="65" t="s">
        <v>163</v>
      </c>
      <c r="B27" s="66">
        <f aca="true" t="shared" si="3" ref="B27:G27">SUM(B16:B26)</f>
        <v>274</v>
      </c>
      <c r="C27" s="189">
        <f t="shared" si="3"/>
        <v>402</v>
      </c>
      <c r="D27" s="43">
        <f t="shared" si="3"/>
        <v>0</v>
      </c>
      <c r="E27" s="43">
        <f t="shared" si="3"/>
        <v>0</v>
      </c>
      <c r="F27" s="43">
        <f t="shared" si="3"/>
        <v>0</v>
      </c>
      <c r="G27" s="43">
        <f t="shared" si="3"/>
        <v>399</v>
      </c>
      <c r="H27" s="74">
        <f t="shared" si="2"/>
        <v>3</v>
      </c>
    </row>
    <row r="28" ht="12.75" customHeight="1">
      <c r="A28" s="89"/>
    </row>
  </sheetData>
  <sheetProtection selectLockedCells="1" selectUnlockedCells="1"/>
  <conditionalFormatting sqref="D2:E6 D11:E11 D16:E26">
    <cfRule type="cellIs" priority="1" dxfId="6" operator="equal" stopIfTrue="1">
      <formula>0</formula>
    </cfRule>
  </conditionalFormatting>
  <conditionalFormatting sqref="B10 B15 B1">
    <cfRule type="cellIs" priority="2" dxfId="5" operator="equal" stopIfTrue="1">
      <formula>"modifica rete"</formula>
    </cfRule>
  </conditionalFormatting>
  <printOptions/>
  <pageMargins left="0.7479166666666667" right="0.7479166666666667" top="0.7805555555555556" bottom="0.4722222222222222" header="0.3402777777777778" footer="0.27569444444444446"/>
  <pageSetup horizontalDpi="600" verticalDpi="600" orientation="landscape" scale="85" r:id="rId1"/>
  <headerFooter alignWithMargins="0">
    <oddHeader>&amp;Cdotazione organica con prospetti riepilogativi per singolo profilo professionale</oddHeader>
    <oddFooter>&amp;L&amp;"Arial,Normale"000000	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1">
      <selection activeCell="B5" sqref="B5"/>
    </sheetView>
  </sheetViews>
  <sheetFormatPr defaultColWidth="8.796875" defaultRowHeight="15"/>
  <cols>
    <col min="1" max="1" width="43.796875" style="0" bestFit="1" customWidth="1"/>
    <col min="3" max="3" width="15" style="0" customWidth="1"/>
    <col min="4" max="4" width="14.69921875" style="0" bestFit="1" customWidth="1"/>
    <col min="7" max="9" width="11.5" style="0" bestFit="1" customWidth="1"/>
  </cols>
  <sheetData>
    <row r="1" spans="1:4" ht="15">
      <c r="A1" s="91" t="s">
        <v>274</v>
      </c>
      <c r="B1" s="198" t="s">
        <v>276</v>
      </c>
      <c r="C1" s="118" t="s">
        <v>301</v>
      </c>
      <c r="D1" s="118" t="s">
        <v>10</v>
      </c>
    </row>
    <row r="2" spans="1:4" ht="15">
      <c r="A2" s="219" t="s">
        <v>314</v>
      </c>
      <c r="B2" s="177">
        <f>+medici!AC81+1</f>
        <v>770</v>
      </c>
      <c r="C2" s="90">
        <v>101000</v>
      </c>
      <c r="D2" s="93">
        <f>+C2*B2</f>
        <v>77770000</v>
      </c>
    </row>
    <row r="3" spans="1:4" ht="15">
      <c r="A3" s="92" t="s">
        <v>247</v>
      </c>
      <c r="B3" s="177">
        <v>1345</v>
      </c>
      <c r="C3" s="90">
        <v>45000</v>
      </c>
      <c r="D3" s="93">
        <f aca="true" t="shared" si="0" ref="D3:D41">+C3*B3</f>
        <v>60525000</v>
      </c>
    </row>
    <row r="4" spans="1:4" ht="15">
      <c r="A4" s="220" t="s">
        <v>248</v>
      </c>
      <c r="B4" s="177">
        <v>270</v>
      </c>
      <c r="C4" s="90">
        <v>36000</v>
      </c>
      <c r="D4" s="93">
        <f t="shared" si="0"/>
        <v>9720000</v>
      </c>
    </row>
    <row r="5" spans="1:4" ht="15">
      <c r="A5" s="219" t="s">
        <v>249</v>
      </c>
      <c r="B5" s="177">
        <f>18-3</f>
        <v>15</v>
      </c>
      <c r="C5" s="90">
        <v>32000</v>
      </c>
      <c r="D5" s="93">
        <f t="shared" si="0"/>
        <v>480000</v>
      </c>
    </row>
    <row r="6" spans="1:4" ht="30.75">
      <c r="A6" s="92" t="s">
        <v>250</v>
      </c>
      <c r="B6" s="177">
        <v>1</v>
      </c>
      <c r="C6" s="90">
        <v>40000</v>
      </c>
      <c r="D6" s="93">
        <f t="shared" si="0"/>
        <v>40000</v>
      </c>
    </row>
    <row r="7" spans="1:4" ht="15">
      <c r="A7" s="92" t="s">
        <v>251</v>
      </c>
      <c r="B7" s="177">
        <v>33</v>
      </c>
      <c r="C7" s="90">
        <v>43000</v>
      </c>
      <c r="D7" s="93">
        <f t="shared" si="0"/>
        <v>1419000</v>
      </c>
    </row>
    <row r="8" spans="1:4" ht="15">
      <c r="A8" s="92" t="s">
        <v>252</v>
      </c>
      <c r="B8" s="177">
        <v>2</v>
      </c>
      <c r="C8" s="90">
        <v>41000</v>
      </c>
      <c r="D8" s="93">
        <f t="shared" si="0"/>
        <v>82000</v>
      </c>
    </row>
    <row r="9" spans="1:4" ht="15">
      <c r="A9" s="92" t="s">
        <v>253</v>
      </c>
      <c r="B9" s="177">
        <v>1</v>
      </c>
      <c r="C9" s="93">
        <v>43000</v>
      </c>
      <c r="D9" s="93">
        <f t="shared" si="0"/>
        <v>43000</v>
      </c>
    </row>
    <row r="10" spans="1:4" ht="15">
      <c r="A10" s="92" t="s">
        <v>318</v>
      </c>
      <c r="B10" s="177">
        <v>1</v>
      </c>
      <c r="C10" s="93">
        <v>42000</v>
      </c>
      <c r="D10" s="93">
        <f t="shared" si="0"/>
        <v>42000</v>
      </c>
    </row>
    <row r="11" spans="1:4" ht="15">
      <c r="A11" s="92" t="s">
        <v>254</v>
      </c>
      <c r="B11" s="177">
        <v>1</v>
      </c>
      <c r="C11" s="93">
        <v>37000</v>
      </c>
      <c r="D11" s="93">
        <f t="shared" si="0"/>
        <v>37000</v>
      </c>
    </row>
    <row r="12" spans="1:4" ht="15">
      <c r="A12" s="92" t="s">
        <v>255</v>
      </c>
      <c r="B12" s="177">
        <v>2</v>
      </c>
      <c r="C12" s="93">
        <v>45000</v>
      </c>
      <c r="D12" s="93">
        <f t="shared" si="0"/>
        <v>90000</v>
      </c>
    </row>
    <row r="13" spans="1:4" ht="15">
      <c r="A13" s="92" t="s">
        <v>256</v>
      </c>
      <c r="B13" s="177">
        <v>2</v>
      </c>
      <c r="C13" s="93">
        <v>45000</v>
      </c>
      <c r="D13" s="93">
        <f t="shared" si="0"/>
        <v>90000</v>
      </c>
    </row>
    <row r="14" spans="1:4" ht="15">
      <c r="A14" s="92" t="s">
        <v>257</v>
      </c>
      <c r="B14" s="177">
        <v>19</v>
      </c>
      <c r="C14" s="93">
        <v>43000</v>
      </c>
      <c r="D14" s="93">
        <f t="shared" si="0"/>
        <v>817000</v>
      </c>
    </row>
    <row r="15" spans="1:4" ht="15">
      <c r="A15" s="92" t="s">
        <v>258</v>
      </c>
      <c r="B15" s="177">
        <v>8</v>
      </c>
      <c r="C15" s="93">
        <v>43000</v>
      </c>
      <c r="D15" s="93">
        <f t="shared" si="0"/>
        <v>344000</v>
      </c>
    </row>
    <row r="16" spans="1:4" ht="15">
      <c r="A16" s="92" t="s">
        <v>259</v>
      </c>
      <c r="B16" s="177">
        <v>100</v>
      </c>
      <c r="C16" s="93">
        <v>42000</v>
      </c>
      <c r="D16" s="93">
        <f t="shared" si="0"/>
        <v>4200000</v>
      </c>
    </row>
    <row r="17" spans="1:4" ht="15">
      <c r="A17" s="165" t="s">
        <v>260</v>
      </c>
      <c r="B17" s="177">
        <v>80</v>
      </c>
      <c r="C17" s="93">
        <v>42000</v>
      </c>
      <c r="D17" s="93">
        <f t="shared" si="0"/>
        <v>3360000</v>
      </c>
    </row>
    <row r="18" spans="1:4" ht="15">
      <c r="A18" s="219" t="s">
        <v>261</v>
      </c>
      <c r="B18" s="177">
        <v>10</v>
      </c>
      <c r="C18" s="93">
        <v>42000</v>
      </c>
      <c r="D18" s="93">
        <f t="shared" si="0"/>
        <v>420000</v>
      </c>
    </row>
    <row r="19" spans="1:4" ht="15">
      <c r="A19" s="219" t="s">
        <v>262</v>
      </c>
      <c r="B19" s="177">
        <f>7-3</f>
        <v>4</v>
      </c>
      <c r="C19" s="93">
        <v>38000</v>
      </c>
      <c r="D19" s="93">
        <f t="shared" si="0"/>
        <v>152000</v>
      </c>
    </row>
    <row r="20" spans="1:4" ht="15">
      <c r="A20" s="165" t="s">
        <v>275</v>
      </c>
      <c r="B20" s="177">
        <v>4</v>
      </c>
      <c r="C20" s="93">
        <v>42000</v>
      </c>
      <c r="D20" s="93">
        <f t="shared" si="0"/>
        <v>168000</v>
      </c>
    </row>
    <row r="21" spans="1:4" ht="15">
      <c r="A21" s="219" t="s">
        <v>263</v>
      </c>
      <c r="B21" s="177">
        <f>5+1</f>
        <v>6</v>
      </c>
      <c r="C21" s="93">
        <v>42000</v>
      </c>
      <c r="D21" s="93">
        <f t="shared" si="0"/>
        <v>252000</v>
      </c>
    </row>
    <row r="22" spans="1:4" ht="15">
      <c r="A22" s="92" t="s">
        <v>307</v>
      </c>
      <c r="B22" s="177">
        <v>2</v>
      </c>
      <c r="C22" s="93">
        <v>100000</v>
      </c>
      <c r="D22" s="93">
        <f t="shared" si="0"/>
        <v>200000</v>
      </c>
    </row>
    <row r="23" spans="1:4" ht="15">
      <c r="A23" s="92" t="s">
        <v>264</v>
      </c>
      <c r="B23" s="177">
        <v>20</v>
      </c>
      <c r="C23" s="93">
        <v>35000</v>
      </c>
      <c r="D23" s="93">
        <f t="shared" si="0"/>
        <v>700000</v>
      </c>
    </row>
    <row r="24" spans="1:4" ht="15">
      <c r="A24" s="92" t="s">
        <v>265</v>
      </c>
      <c r="B24" s="177">
        <v>12</v>
      </c>
      <c r="C24" s="93">
        <v>40000</v>
      </c>
      <c r="D24" s="93">
        <f t="shared" si="0"/>
        <v>480000</v>
      </c>
    </row>
    <row r="25" spans="1:4" ht="15">
      <c r="A25" s="92" t="s">
        <v>266</v>
      </c>
      <c r="B25" s="177">
        <f>62+18</f>
        <v>80</v>
      </c>
      <c r="C25" s="93">
        <v>35000</v>
      </c>
      <c r="D25" s="93">
        <f t="shared" si="0"/>
        <v>2800000</v>
      </c>
    </row>
    <row r="26" spans="1:4" ht="15">
      <c r="A26" s="92" t="s">
        <v>303</v>
      </c>
      <c r="B26" s="177">
        <f>4+3</f>
        <v>7</v>
      </c>
      <c r="C26" s="93">
        <v>90000</v>
      </c>
      <c r="D26" s="93">
        <f t="shared" si="0"/>
        <v>630000</v>
      </c>
    </row>
    <row r="27" spans="1:4" ht="15">
      <c r="A27" s="92" t="s">
        <v>184</v>
      </c>
      <c r="B27" s="177">
        <v>34</v>
      </c>
      <c r="C27" s="93">
        <v>90000</v>
      </c>
      <c r="D27" s="93">
        <f t="shared" si="0"/>
        <v>3060000</v>
      </c>
    </row>
    <row r="28" spans="1:4" ht="15">
      <c r="A28" s="92" t="s">
        <v>304</v>
      </c>
      <c r="B28" s="177">
        <v>5</v>
      </c>
      <c r="C28" s="93">
        <v>90000</v>
      </c>
      <c r="D28" s="93">
        <f t="shared" si="0"/>
        <v>450000</v>
      </c>
    </row>
    <row r="29" spans="1:4" ht="15">
      <c r="A29" s="92" t="s">
        <v>306</v>
      </c>
      <c r="B29" s="177">
        <v>1</v>
      </c>
      <c r="C29" s="93">
        <v>90000</v>
      </c>
      <c r="D29" s="93">
        <f t="shared" si="0"/>
        <v>90000</v>
      </c>
    </row>
    <row r="30" spans="1:4" ht="15">
      <c r="A30" s="92" t="s">
        <v>305</v>
      </c>
      <c r="B30" s="177">
        <v>2</v>
      </c>
      <c r="C30" s="93">
        <v>90000</v>
      </c>
      <c r="D30" s="93">
        <f t="shared" si="0"/>
        <v>180000</v>
      </c>
    </row>
    <row r="31" spans="1:4" ht="15">
      <c r="A31" s="92" t="s">
        <v>267</v>
      </c>
      <c r="B31" s="177">
        <v>4</v>
      </c>
      <c r="C31" s="93">
        <v>90000</v>
      </c>
      <c r="D31" s="93">
        <f t="shared" si="0"/>
        <v>360000</v>
      </c>
    </row>
    <row r="32" spans="1:4" ht="15">
      <c r="A32" s="92" t="s">
        <v>183</v>
      </c>
      <c r="B32" s="177">
        <v>9</v>
      </c>
      <c r="C32" s="93">
        <v>90000</v>
      </c>
      <c r="D32" s="93">
        <f t="shared" si="0"/>
        <v>810000</v>
      </c>
    </row>
    <row r="33" spans="1:4" ht="15">
      <c r="A33" s="219" t="s">
        <v>268</v>
      </c>
      <c r="B33" s="177">
        <v>15</v>
      </c>
      <c r="C33" s="93">
        <v>100000</v>
      </c>
      <c r="D33" s="93">
        <f t="shared" si="0"/>
        <v>1500000</v>
      </c>
    </row>
    <row r="34" spans="1:4" ht="15">
      <c r="A34" s="92" t="s">
        <v>269</v>
      </c>
      <c r="B34" s="177">
        <f>34+6</f>
        <v>40</v>
      </c>
      <c r="C34" s="93">
        <v>35000</v>
      </c>
      <c r="D34" s="93">
        <f t="shared" si="0"/>
        <v>1400000</v>
      </c>
    </row>
    <row r="35" spans="1:4" ht="15">
      <c r="A35" s="92" t="s">
        <v>270</v>
      </c>
      <c r="B35" s="177">
        <v>23</v>
      </c>
      <c r="C35" s="93">
        <v>30000</v>
      </c>
      <c r="D35" s="93">
        <f t="shared" si="0"/>
        <v>690000</v>
      </c>
    </row>
    <row r="36" spans="1:4" ht="15">
      <c r="A36" s="92" t="s">
        <v>271</v>
      </c>
      <c r="B36" s="177">
        <v>73</v>
      </c>
      <c r="C36" s="93">
        <v>33000</v>
      </c>
      <c r="D36" s="93">
        <f t="shared" si="0"/>
        <v>2409000</v>
      </c>
    </row>
    <row r="37" spans="1:4" ht="15">
      <c r="A37" s="92" t="s">
        <v>272</v>
      </c>
      <c r="B37" s="177">
        <v>52</v>
      </c>
      <c r="C37" s="93">
        <v>41000</v>
      </c>
      <c r="D37" s="93">
        <f t="shared" si="0"/>
        <v>2132000</v>
      </c>
    </row>
    <row r="38" spans="1:4" ht="15">
      <c r="A38" s="92" t="s">
        <v>273</v>
      </c>
      <c r="B38" s="177">
        <v>3</v>
      </c>
      <c r="C38" s="93">
        <v>40000</v>
      </c>
      <c r="D38" s="93">
        <f t="shared" si="0"/>
        <v>120000</v>
      </c>
    </row>
    <row r="39" spans="1:4" ht="15">
      <c r="A39" s="177" t="s">
        <v>308</v>
      </c>
      <c r="B39" s="177">
        <v>3</v>
      </c>
      <c r="C39" s="93">
        <v>100000</v>
      </c>
      <c r="D39" s="93">
        <f t="shared" si="0"/>
        <v>300000</v>
      </c>
    </row>
    <row r="40" spans="1:4" ht="15">
      <c r="A40" s="219" t="s">
        <v>309</v>
      </c>
      <c r="B40" s="177">
        <v>5</v>
      </c>
      <c r="C40" s="93">
        <v>100000</v>
      </c>
      <c r="D40" s="93">
        <f t="shared" si="0"/>
        <v>500000</v>
      </c>
    </row>
    <row r="41" spans="1:4" ht="15">
      <c r="A41" s="177" t="s">
        <v>191</v>
      </c>
      <c r="B41" s="177">
        <v>2</v>
      </c>
      <c r="C41" s="93">
        <v>100000</v>
      </c>
      <c r="D41" s="93">
        <f t="shared" si="0"/>
        <v>200000</v>
      </c>
    </row>
    <row r="42" spans="1:7" ht="15">
      <c r="A42" s="94"/>
      <c r="B42" s="91">
        <f>SUM(B2:B41)</f>
        <v>3066</v>
      </c>
      <c r="C42" s="92"/>
      <c r="D42" s="95">
        <f>SUM(D2:D41)</f>
        <v>179062000</v>
      </c>
      <c r="G42" s="221"/>
    </row>
    <row r="43" spans="1:4" ht="15" customHeight="1">
      <c r="A43" s="94"/>
      <c r="B43" s="240" t="s">
        <v>277</v>
      </c>
      <c r="C43" s="241"/>
      <c r="D43" s="93">
        <f>(+D42/1.268)*8.5/100</f>
        <v>12003367.507886436</v>
      </c>
    </row>
    <row r="44" spans="1:4" ht="15.75" customHeight="1">
      <c r="A44" s="98"/>
      <c r="B44" s="240" t="s">
        <v>278</v>
      </c>
      <c r="C44" s="241"/>
      <c r="D44" s="93">
        <v>370000</v>
      </c>
    </row>
    <row r="45" spans="1:4" ht="15.75" customHeight="1">
      <c r="A45" s="98"/>
      <c r="B45" s="240" t="s">
        <v>279</v>
      </c>
      <c r="C45" s="241"/>
      <c r="D45" s="93">
        <v>3684000</v>
      </c>
    </row>
    <row r="46" spans="1:4" ht="15" customHeight="1">
      <c r="A46" s="94"/>
      <c r="B46" s="240" t="s">
        <v>280</v>
      </c>
      <c r="C46" s="241"/>
      <c r="D46" s="199">
        <f>29202000+1500000</f>
        <v>30702000</v>
      </c>
    </row>
    <row r="47" spans="1:4" ht="15.75" customHeight="1">
      <c r="A47" s="94"/>
      <c r="B47" s="238" t="s">
        <v>302</v>
      </c>
      <c r="C47" s="239"/>
      <c r="D47" s="96">
        <f>+D42+D43+D44-D45-D46</f>
        <v>157049367.50788644</v>
      </c>
    </row>
    <row r="48" spans="1:3" ht="15" customHeight="1">
      <c r="A48" s="98"/>
      <c r="B48" s="242"/>
      <c r="C48" s="174"/>
    </row>
    <row r="49" spans="1:4" ht="15">
      <c r="A49" s="176"/>
      <c r="B49" s="242"/>
      <c r="C49" s="173" t="s">
        <v>294</v>
      </c>
      <c r="D49" s="97">
        <v>157151000</v>
      </c>
    </row>
    <row r="50" spans="1:4" ht="15">
      <c r="A50" s="176"/>
      <c r="C50" s="173" t="s">
        <v>292</v>
      </c>
      <c r="D50" s="97">
        <f>+D49-D47</f>
        <v>101632.49211356044</v>
      </c>
    </row>
    <row r="51" ht="15">
      <c r="C51" s="172"/>
    </row>
  </sheetData>
  <sheetProtection/>
  <mergeCells count="6">
    <mergeCell ref="B47:C47"/>
    <mergeCell ref="B46:C46"/>
    <mergeCell ref="B45:C45"/>
    <mergeCell ref="B44:C44"/>
    <mergeCell ref="B43:C43"/>
    <mergeCell ref="B48:B49"/>
  </mergeCells>
  <printOptions/>
  <pageMargins left="0.25" right="0.25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MARUSSICH FABIO</dc:creator>
  <cp:keywords/>
  <dc:description/>
  <cp:lastModifiedBy>sabrina arnone</cp:lastModifiedBy>
  <cp:lastPrinted>2024-01-02T14:04:44Z</cp:lastPrinted>
  <dcterms:created xsi:type="dcterms:W3CDTF">2020-10-14T08:49:21Z</dcterms:created>
  <dcterms:modified xsi:type="dcterms:W3CDTF">2024-01-16T11:44:11Z</dcterms:modified>
  <cp:category/>
  <cp:version/>
  <cp:contentType/>
  <cp:contentStatus/>
</cp:coreProperties>
</file>